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прил. 2 реестр" sheetId="1" r:id="rId1"/>
    <sheet name="прил. 1 перечень" sheetId="2" r:id="rId2"/>
    <sheet name="прил. 3 показатели" sheetId="3" r:id="rId3"/>
  </sheets>
  <definedNames>
    <definedName name="_xlnm.Print_Area" localSheetId="1">'прил. 1 перечень'!$A$1:$S$91</definedName>
    <definedName name="_xlnm.Print_Area" localSheetId="0">'прил. 2 реестр'!$A$1:$Q$82</definedName>
    <definedName name="_xlnm.Print_Area" localSheetId="2">'прил. 3 показатели'!$A$1:$N$14</definedName>
  </definedNames>
  <calcPr fullCalcOnLoad="1"/>
</workbook>
</file>

<file path=xl/sharedStrings.xml><?xml version="1.0" encoding="utf-8"?>
<sst xmlns="http://schemas.openxmlformats.org/spreadsheetml/2006/main" count="517" uniqueCount="252">
  <si>
    <t>№ 
пп</t>
  </si>
  <si>
    <t>Адрес многоквартир-ного дома</t>
  </si>
  <si>
    <t>Год</t>
  </si>
  <si>
    <t>Вид ремонта</t>
  </si>
  <si>
    <t>Стоимость капитального ремонта</t>
  </si>
  <si>
    <t>Предельная стоимость капитального ремонта одного кв. метра общей площади помещений многоквар-тирного дома</t>
  </si>
  <si>
    <t>ввода в эксп-луата-цию</t>
  </si>
  <si>
    <t>всего</t>
  </si>
  <si>
    <t>в том числе</t>
  </si>
  <si>
    <t>за счет средств местного бюджета</t>
  </si>
  <si>
    <t>средства собственников помещен ий</t>
  </si>
  <si>
    <t>средства собственников муниципального образования</t>
  </si>
  <si>
    <t>кв. метров</t>
  </si>
  <si>
    <t>чел.</t>
  </si>
  <si>
    <t>рублей</t>
  </si>
  <si>
    <t>рублей/кв. метр</t>
  </si>
  <si>
    <t>за счет средств государственной корпорации – Фонда содействия реформированию жилищно-коммуналь-ного хо-зяйства</t>
  </si>
  <si>
    <t>за счет средств республиканского бюджета Чувашской Республики</t>
  </si>
  <si>
    <t>за счет средств ТСЖ или собственников помещений в многоквартирном доме</t>
  </si>
  <si>
    <t>Удельная стоимость капитального ремонта одного кв. метра общей площади помещений многоквартирного дома</t>
  </si>
  <si>
    <t xml:space="preserve">Адрес многоквартирного дома 
</t>
  </si>
  <si>
    <t>Стоимость капитального ремонта, всего</t>
  </si>
  <si>
    <t>Ремонт  внутридомовых инженерных систем</t>
  </si>
  <si>
    <t>Установка коллективных (общедомовых) приборов учета и узлов управления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</si>
  <si>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</si>
  <si>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</si>
  <si>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</si>
  <si>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</si>
  <si>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Ремонт фундаментов</t>
  </si>
  <si>
    <t>улица, № дома</t>
  </si>
  <si>
    <t>ед.</t>
  </si>
  <si>
    <t>куб. метров</t>
  </si>
  <si>
    <t>г. Чебоксары</t>
  </si>
  <si>
    <t>Энергетическое обследование дома</t>
  </si>
  <si>
    <t>ООО "Вертикаль"</t>
  </si>
  <si>
    <t>ООО "Атал"</t>
  </si>
  <si>
    <t>ООО "Новоюжный"(К)</t>
  </si>
  <si>
    <t>ООО "Мирный-1"</t>
  </si>
  <si>
    <t>Московский проспект, д. 7</t>
  </si>
  <si>
    <t>Московский проспект, д. 31А</t>
  </si>
  <si>
    <t>ООО "УК "Центр"</t>
  </si>
  <si>
    <t>ТСЖ "Сталелитейщик"</t>
  </si>
  <si>
    <t>ООО "Пик-1"</t>
  </si>
  <si>
    <t>ООО "Ниди"</t>
  </si>
  <si>
    <t>ул. Эльгера, д. 16</t>
  </si>
  <si>
    <t>Эгерский бульвар, д. 22</t>
  </si>
  <si>
    <t>ООО "Жилкомсервис"</t>
  </si>
  <si>
    <t>пр. Мира, д.33</t>
  </si>
  <si>
    <t xml:space="preserve">Эгерский бульвар, д. 29 </t>
  </si>
  <si>
    <t>ООО "Новоюжный"</t>
  </si>
  <si>
    <t>ТСЖ "Чайка"</t>
  </si>
  <si>
    <t>ул. Привокзальная, д. 6</t>
  </si>
  <si>
    <t>ТСЖ "Весна"</t>
  </si>
  <si>
    <t>ООО "Деон"</t>
  </si>
  <si>
    <t>ремонт лифта</t>
  </si>
  <si>
    <t>ООО "Сфера"</t>
  </si>
  <si>
    <t>ООО "Текстильщик"</t>
  </si>
  <si>
    <t>ул. Текстильщиков, д. 11</t>
  </si>
  <si>
    <t>ул. Николаева, д. 46</t>
  </si>
  <si>
    <t>ул. Хевешская, д. 31А</t>
  </si>
  <si>
    <t>Эгерский бульвар, д. 13</t>
  </si>
  <si>
    <t>ТСЖ "Горный"</t>
  </si>
  <si>
    <t>ул.Хузангая, д. 7</t>
  </si>
  <si>
    <t>ЗАО "Южный"</t>
  </si>
  <si>
    <t>ул. Ашмарина, д. 36</t>
  </si>
  <si>
    <t>ул. Р. Зорге, д. 11</t>
  </si>
  <si>
    <t>ул. Гузовского, д.30</t>
  </si>
  <si>
    <t>ул. Т.Кривова, д.7</t>
  </si>
  <si>
    <t>ул. Эльгера, д.28</t>
  </si>
  <si>
    <t>ул. Канашское шоссе, д. 1</t>
  </si>
  <si>
    <t>ООО "Богданк-Сервис"</t>
  </si>
  <si>
    <t>ООО "Чапаевец"</t>
  </si>
  <si>
    <t>ул. Социалистическая, д.13а</t>
  </si>
  <si>
    <t>ООО "УК"Стандарт"</t>
  </si>
  <si>
    <t>ул. Совхозная, д.5</t>
  </si>
  <si>
    <t>ООО "УК "Альфа"</t>
  </si>
  <si>
    <t>ремонт кровли, водоотведения, электроснабжения</t>
  </si>
  <si>
    <t xml:space="preserve"> ремонт 2 лифтов</t>
  </si>
  <si>
    <t>ООО "УК "Капремстрой"</t>
  </si>
  <si>
    <t>пр. Ленина, д. 17</t>
  </si>
  <si>
    <t>пр. Ленина, д. 54</t>
  </si>
  <si>
    <t>пр. Ленина, д. 39</t>
  </si>
  <si>
    <t>ремонт кровли, ремонт системы электроснабжения, водоотведения</t>
  </si>
  <si>
    <t>ТСЖ "Современник"</t>
  </si>
  <si>
    <t xml:space="preserve">П Е Р Е Ч Е Н Ь 
многоквартирных домов, в отношении которых планируется предоставление финансовой поддержки в рамках  ведомственной целевой  муниципальной адресной программы  города Чебоксары "О капитальном ремонте многоквартирных домов в 2012 год" </t>
  </si>
  <si>
    <t>ООО "Озон"</t>
  </si>
  <si>
    <t xml:space="preserve"> ремонт 2 лифтов, ремонт системы холодного и горячего водоснабжения</t>
  </si>
  <si>
    <t xml:space="preserve"> ремонт 3 лифтов, ремонт системы холодного и горячего водоснабжения</t>
  </si>
  <si>
    <t>ул. Социалистическая, д. 2б</t>
  </si>
  <si>
    <t>ул. Коллективная, д. 6</t>
  </si>
  <si>
    <t>ул. К.Маркса д. 46</t>
  </si>
  <si>
    <t xml:space="preserve">ул. Шевченко, д. 25 </t>
  </si>
  <si>
    <t>ул. Шевченко, д. 27</t>
  </si>
  <si>
    <t>пр. Ленина, д. 16А</t>
  </si>
  <si>
    <t>ул. Б.Хмельницкого, д. 72</t>
  </si>
  <si>
    <t>пр. Мира, д. 35</t>
  </si>
  <si>
    <t>ул. Чапаева, д. 5 корп. 1</t>
  </si>
  <si>
    <t>пр. Мира, д. 37</t>
  </si>
  <si>
    <t>ул. Николаева, д. 25/15</t>
  </si>
  <si>
    <t>ул. Кадыкова, д. 13</t>
  </si>
  <si>
    <t xml:space="preserve">ул. 50 лет Октября, д. 15 </t>
  </si>
  <si>
    <t>ул. М.Павлова, д. 62</t>
  </si>
  <si>
    <t>ул. Бондарева,15</t>
  </si>
  <si>
    <t>ул. М. Павлова, д. 30</t>
  </si>
  <si>
    <t>ул. Максимова, д. 2/5</t>
  </si>
  <si>
    <t>ул. Чапаева, д. 14</t>
  </si>
  <si>
    <t>Итого:</t>
  </si>
  <si>
    <t>ул. Т. Кривова,10</t>
  </si>
  <si>
    <t>ул. Т. Кривова,14</t>
  </si>
  <si>
    <t>Эгерский бульвар,  д. 8</t>
  </si>
  <si>
    <t>Эгерский бульвар,  д. 14</t>
  </si>
  <si>
    <t>Эгерский бульвар,  д. 16/1</t>
  </si>
  <si>
    <t>Эгерский бульвар, д. 24</t>
  </si>
  <si>
    <t xml:space="preserve">Р Е Е С Т Р 
многоквартирных домов, в отношении которых планируется предоставление финансовой поддержки в рамках  ведомственной целевой  муниципальной адресной программы  города Чебоксары "О капитальном ремонте многоквартирных домов в 2012 год" </t>
  </si>
  <si>
    <t>ООО "УК "Жилищник"</t>
  </si>
  <si>
    <t>ул. Энгельса, д. 15</t>
  </si>
  <si>
    <t>ул. Привокзальная, д. 4</t>
  </si>
  <si>
    <t>ООО "УК "Лидер"</t>
  </si>
  <si>
    <t>ООО "РОСБАУ"</t>
  </si>
  <si>
    <t>ул. Урукова, д. 7</t>
  </si>
  <si>
    <t>ул. Пирогова, д. 28</t>
  </si>
  <si>
    <t>ул. 324 Стрелковой дивизии,  д. 12</t>
  </si>
  <si>
    <t>ул. Р. Зорге, д. 1</t>
  </si>
  <si>
    <t>ул. Ашмарина, д. 36 к.1</t>
  </si>
  <si>
    <t>пер. Молодежный, д. 1</t>
  </si>
  <si>
    <t>ул. М. Павлова, д. 3</t>
  </si>
  <si>
    <t>ТСЖ "Кабельщик"</t>
  </si>
  <si>
    <t>ул. Эгерский бульвар, д. 25</t>
  </si>
  <si>
    <t>Складской проезд, д.8</t>
  </si>
  <si>
    <t>ул. 324 Стрелковой дивизии,  д. 17</t>
  </si>
  <si>
    <t xml:space="preserve"> </t>
  </si>
  <si>
    <t>финансирование</t>
  </si>
  <si>
    <t>ул. Максимова, д. 11</t>
  </si>
  <si>
    <t>у. Ашмарина, д. 25</t>
  </si>
  <si>
    <t>ул. 50 лет Октября, д. 4</t>
  </si>
  <si>
    <t>ремонт кровли, ремонт системы холодного, горячего водоснабжения</t>
  </si>
  <si>
    <t>ремонт кровли, системы холодного  водоснабжения, электроснабжения</t>
  </si>
  <si>
    <t>ул. Ахазова, д. 13</t>
  </si>
  <si>
    <t>финансирование уточненное</t>
  </si>
  <si>
    <t xml:space="preserve">Приложение 1                                                                                                          к ведомственной целевой  муниципальной адресной программе  города Чебоксары "О капитальном ремонте многоквартирных домов в 2012 год" </t>
  </si>
  <si>
    <t xml:space="preserve">ПЛАНИРУЕМЫЕ ПОКАЗАТЕЛИ
 выполнения ведомственной целевой  муниципальной адресной программы  города Чебоксары "О капитальном ремонте многоквартирных домов в 2012 год" 
</t>
  </si>
  <si>
    <t>наименование монопрофильного муниципального образования</t>
  </si>
  <si>
    <t>общая площадь жилищного фонда – всего</t>
  </si>
  <si>
    <t>количество жителей, зарегистрированных в МКД на дату утверждения Программы</t>
  </si>
  <si>
    <t>количество  многоквартирных домов</t>
  </si>
  <si>
    <t>стоимость капитального ремонта</t>
  </si>
  <si>
    <t>I квартал 2012 года</t>
  </si>
  <si>
    <t>II квартал 2012 года</t>
  </si>
  <si>
    <t>III квартал 2012 года</t>
  </si>
  <si>
    <t>IV квартал 2012 года</t>
  </si>
  <si>
    <t>Всего</t>
  </si>
  <si>
    <t>руб.</t>
  </si>
  <si>
    <t>1.</t>
  </si>
  <si>
    <t>Итого</t>
  </si>
  <si>
    <t>ул. М.Залка, д. 16 корп. 1</t>
  </si>
  <si>
    <t>ремонт системы теплоснабжения, холодного и горячего водоснабжения</t>
  </si>
  <si>
    <t>ремонт  узла управления, системы теплоснабжения, холодного водоснабжения, установка общедомового приборов учета на теплоснабжение, холодное водоснабжение</t>
  </si>
  <si>
    <t>ремонт кровли,  узла управления, системы теплоснабжения, установка прибора учета на теплоснабжение</t>
  </si>
  <si>
    <t>ремонт кровли,  ремонт системы теплоснабжения,  узлов управления с установкой общедомового прибора учета теплоснабжение</t>
  </si>
  <si>
    <t>ремонт системы теплоснабжения, замена  узлов управления, холодного и горячего водоснабжения</t>
  </si>
  <si>
    <t>ремонт системы теплоснабжения,  замена узла управления с установкой терморегулятора, ремонт лифта</t>
  </si>
  <si>
    <t>ремонт стальной кровли, системы водоотведения, холодного водоснабжения с установкой прибора учета</t>
  </si>
  <si>
    <t>ремонт системы холодного водоснабжения  с установкой прибора учета, горячего водоснабжения, электроснабжения, замена   узла управления</t>
  </si>
  <si>
    <t xml:space="preserve">ремонт системы холодного водоснабжения с установкой общедомового прибора учета, водоотведения, узла управления с установкой прибора учета на теплоснабжение </t>
  </si>
  <si>
    <t xml:space="preserve"> ремонт 2 лифтов, ремонт водоотведения, замена 2 узлов управления</t>
  </si>
  <si>
    <t xml:space="preserve"> ремонт 2 лифтов, ремонт  системы водоотведения, замена 2  узлов управления</t>
  </si>
  <si>
    <t>ремонт системы теплоснабжения,  узлов управления, системы электроснабжения</t>
  </si>
  <si>
    <t>ремонт системы теплоснабжения,  узла управления, водоотведения</t>
  </si>
  <si>
    <t>ремонт системы холодного водоснабжения с установкой прибора учета,  горячего водоснабжения, теплоснабжения с узлом управления с установкой общедомового прибора учета</t>
  </si>
  <si>
    <t>ремонт системы холодного водоснабжения с установкой прибора учета, горячего водоснабжения, узла управления с установкой общедомового прибора учета, кровли</t>
  </si>
  <si>
    <t>ремонт системы холодного водоснабжения с установкой прибора учета, теплоснабжения с установкой прибора учета</t>
  </si>
  <si>
    <t>ул. М.Залка, д. 16 корп.1</t>
  </si>
  <si>
    <t>ремонт системы теплоснабжения, холодного, горячего водоснабжения</t>
  </si>
  <si>
    <t>ремонт кровли, системы теплоснабжения,   узлов управления с установкой  прибора учета теплоснабжения</t>
  </si>
  <si>
    <t>ремонт  системы водоотведения,  теплоснабжения,  узла управления с установкой прибора учета теплоснабжения</t>
  </si>
  <si>
    <t>ремонт системы теплоснабжения,   узла управления, кровли</t>
  </si>
  <si>
    <t>ремонт системы теплоснабжения, узла управления, кровли</t>
  </si>
  <si>
    <t>ремонт системы теплоснабжения,   узлов управления, установка приборов учета на холодное водоснабжения</t>
  </si>
  <si>
    <t>ремонт 6 лифтов, замена  узлов управления с установкой терморегуляторов</t>
  </si>
  <si>
    <t xml:space="preserve"> ремонт 4 лифтов, ремонт системы холодного и горячего водоснабжения, приборы учета на теплоснабжение и холодное водоснабжение</t>
  </si>
  <si>
    <t>ремонт системы холодного и горячего водоснабжения, водоотведения, теплоснабжения, приборы учета на теплоснабжение и холодное водоснабжение</t>
  </si>
  <si>
    <t>ремонт системы  холодного водоснабжения, водоотведения,  электроснабжения</t>
  </si>
  <si>
    <t>ремонт системы холодного водоснабжения с установкой прибоа учета,  горячего водоснабжения, водоотведения, электроснабжения; ремонт кровли;</t>
  </si>
  <si>
    <t>ремонт системы холодного водоснабжения с установкой прибора учета,  горячего водоснабжения, теплоснабжения с заменой узлов управления, приборы учета на теплоснабжение, канализации, электроснабжения; ремонт кровли;</t>
  </si>
  <si>
    <t>ремонт системы холодного водоснабжения с установкой прибора учета,  горячего водоснабжения, водоотведения,  ремонт кровли;  узла управления; ремонт фасада</t>
  </si>
  <si>
    <t>ремонт системы теплоснабжения, узла управления, ремонт  кровли</t>
  </si>
  <si>
    <t>ремонт системы холодного водоснабжения, теплоснабжения,  узлов управления, установка  приборов приборов учета на теплоснабжение и холодное водоснабжение</t>
  </si>
  <si>
    <t>ремонт системы холодного и горячего водоснабжения, теплоснабжения , узлов управления, установка  приборов учета на теплоснабжение и холодное водоснабжение</t>
  </si>
  <si>
    <t>ремонт кровли, узла управления с установкой прибора учета на теплоснабжение, электроснабжения</t>
  </si>
  <si>
    <t>ремонт кровли,   узла управлени с установкой терморегуляторов и прибора учета на теплоснабжение</t>
  </si>
  <si>
    <t>ремонт системы теплоснабжения с заменой узлов управления с установкой приборов учета, холодного  водоснабжения с установкой прибора учета, электроснабжения</t>
  </si>
  <si>
    <t>ремонт лифта, ремонт системы холодного и горячего водоснабжения, установка  прибора учета на теплоснабжение и холодное водоснабжение</t>
  </si>
  <si>
    <t>ремонт системы холодного и горячего водоснабжения с установкой приборов учета, кровли</t>
  </si>
  <si>
    <t>ремонт 5 лифтов, установка общедомового прибора учета на холодное водоснабжение, ремонт кровли</t>
  </si>
  <si>
    <t>ремонт системы холодного и горячего водоснабжения, кровли, прибор учета на теплоснабжение</t>
  </si>
  <si>
    <t xml:space="preserve"> ремонт 1 лифта, установка общедомового прибора на холодное водоснабжение, системы водоотведения</t>
  </si>
  <si>
    <t>ремонт системы теплоснабжения, холодного  водоснабжения с установкой прибора учета,  горячего водоснабжения</t>
  </si>
  <si>
    <t>ремонт системы теплоснабжения, ремонт узла управления холодного водоснабжения  с установкой общедомового прибора учета, ремонт кровли</t>
  </si>
  <si>
    <t>ремонт системы холодного водоснабжения с установкой прибора учета,  горячего водоснабжения, водоотведения, теплоснабжения с узлом управления, электроснабжения, ремонт фасада</t>
  </si>
  <si>
    <t>ремонт системы холодного водоснабжения с установкой приборов учета, водоотведения, кровли</t>
  </si>
  <si>
    <t>ремонт кровли, ремонт системы электроснабжения, установка  прибора учета на теплоснабжение</t>
  </si>
  <si>
    <t>ремонт системы теплоснабжения  с заменой узла управления , ремонт кровли</t>
  </si>
  <si>
    <t>ремонт системы водоотведения, теплоснабжения с заменой  узла управления, прибор учета на теплоснабжение, ремонт кровли</t>
  </si>
  <si>
    <t>ремонт системы теплоснабжения, холодного и горячего водоснабжения,  ремонт 2 лифтов</t>
  </si>
  <si>
    <t>ремонт системы теплоснабжения, холодного и горячего водоснабжения, водоотведения,  электроснабжения</t>
  </si>
  <si>
    <t>ремонт системы теплоснабжения, водоотведения, холодного и горячего водоснабжения,   электроснабжения</t>
  </si>
  <si>
    <t>ремонт системы холодного водоснабжения с установкой прибора учета, горячего водоснабжения, электроснабжения,  заменой узлов управления с установкой прибора учета на теплоснабжение</t>
  </si>
  <si>
    <t>ремонт системы теплоснабжения, холодного водоснабжения, узла управления, установка приборов учета на теплоснабжение и  холодное водоснабжение , кровли</t>
  </si>
  <si>
    <t>ремонт системы холодного водоснабжения, водоотведения кровли, узла управления с установкой прибора учета на теплоснабжение</t>
  </si>
  <si>
    <t>Дата завершения работ</t>
  </si>
  <si>
    <t>Глава администации города Чебоксары                                                                                                             А.О. Ладыков</t>
  </si>
  <si>
    <r>
      <t xml:space="preserve">ремонт системы водоотведения, </t>
    </r>
    <r>
      <rPr>
        <sz val="10"/>
        <rFont val="Times New Roman"/>
        <family val="1"/>
      </rPr>
      <t xml:space="preserve">холодного  водоснабжения с установкой приборов учета, </t>
    </r>
    <r>
      <rPr>
        <sz val="10"/>
        <color indexed="8"/>
        <rFont val="Times New Roman"/>
        <family val="1"/>
      </rPr>
      <t>электроснабжения</t>
    </r>
  </si>
  <si>
    <r>
      <t>ремонт системы теплоснабжения,</t>
    </r>
    <r>
      <rPr>
        <sz val="9"/>
        <color indexed="8"/>
        <rFont val="Times New Roman"/>
        <family val="1"/>
      </rPr>
      <t xml:space="preserve"> зам</t>
    </r>
    <r>
      <rPr>
        <sz val="10"/>
        <color indexed="8"/>
        <rFont val="Times New Roman"/>
        <family val="1"/>
      </rPr>
      <t>ена  узлов управления, ремонт кровли</t>
    </r>
  </si>
  <si>
    <t xml:space="preserve"> декабрь  2012</t>
  </si>
  <si>
    <t xml:space="preserve">Приложение 2                                                                                                          к ведомственной целевой  муниципальной адресной программе  города Чебоксары "О капитальном ремонте многоквартирных домов в 2012 год" </t>
  </si>
  <si>
    <t xml:space="preserve">Приложение 3                                                                                                          к ведомственной целевой  муниципальной адресной программе  города Чебоксары "О капитальном ремонте многоквартирных домов в 2012 год" </t>
  </si>
  <si>
    <t xml:space="preserve">Министерство градостроительства и развития общественной инфраструктуры Чувашской Республики
Управление ЖКХ
</t>
  </si>
  <si>
    <t xml:space="preserve"> сентябрь 2012 г.</t>
  </si>
  <si>
    <t xml:space="preserve">пр. 9-ой Пятилетки, д.2 </t>
  </si>
  <si>
    <t>ремонт ремонт системы холодного  и горячего водоснабжения, установка прибора учета холодного водоснабжения, замена узла управления с установкой терморегуляторов</t>
  </si>
  <si>
    <t>Дата объявления</t>
  </si>
  <si>
    <t>Дата вскрытия конвертов</t>
  </si>
  <si>
    <t>10.04.2012г.</t>
  </si>
  <si>
    <t>14.05.2012 г.        9.00 ч.</t>
  </si>
  <si>
    <t>11.05.2012 г. 10.00 ч.</t>
  </si>
  <si>
    <t>17.04.2012 г.</t>
  </si>
  <si>
    <t>17.05.2012 г. 10.00 ч.</t>
  </si>
  <si>
    <t>16.05.2012 г. 16.30 ч.</t>
  </si>
  <si>
    <t>10.04.2012 г.</t>
  </si>
  <si>
    <t>11.05.2012 г. 14.00 ч.</t>
  </si>
  <si>
    <t>10.05.2012 г. 9.00 ч.</t>
  </si>
  <si>
    <t>17.05.2012 г. 9.00 ч.</t>
  </si>
  <si>
    <t>18.05.2012 г. 10.00 ч.</t>
  </si>
  <si>
    <t>12.04.2012 г.</t>
  </si>
  <si>
    <t>12.05.2012 г. 10.00 ч.</t>
  </si>
  <si>
    <t>18.05.2012 г. 11.00 ч.</t>
  </si>
  <si>
    <t>14.05.2012 г. 10.00 ч.</t>
  </si>
  <si>
    <t>16.05.2012 г. 10.00 ч.</t>
  </si>
  <si>
    <t>15.05.2012 г. 10.00 ч.</t>
  </si>
  <si>
    <t xml:space="preserve">17.05.2012 г. 15.00 ч. </t>
  </si>
  <si>
    <t>15.05.2012 г. 9.00 ч.</t>
  </si>
  <si>
    <t>14.05.2012 г. 9.00 ч.</t>
  </si>
  <si>
    <t>12.05.2012 г.  8.30 ч.</t>
  </si>
  <si>
    <t>14.05.2012 г. 14.00 ч.</t>
  </si>
  <si>
    <t>12.05.2012 г. 9.00 ч.</t>
  </si>
  <si>
    <t>19.04.2012 г.</t>
  </si>
  <si>
    <t>11.05.2012 г. 10.45 ч.</t>
  </si>
  <si>
    <t>12.05.2012 г. 15.00 ч.</t>
  </si>
  <si>
    <t>14.05.2012 г. 16.00 ч.</t>
  </si>
  <si>
    <t>14.04.2012 г.</t>
  </si>
  <si>
    <t>14.04.2012 г.    (газета "Хыпар")</t>
  </si>
  <si>
    <t>12.04.2012 г.  (газета "Хыпар")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</si>
</sst>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  <numFmt numFmtId="184" formatCode="0.000000000000000000E+00"/>
    <numFmt numFmtId="185" formatCode="0.0000000000000000000E+00"/>
    <numFmt numFmtId="186" formatCode="0.00000000000000000000E+00"/>
    <numFmt numFmtId="187" formatCode="0.000000000000000000000E+00"/>
    <numFmt numFmtId="188" formatCode="0.0000000000000000000000E+00"/>
    <numFmt numFmtId="189" formatCode="0.00000000000000000000000E+00"/>
    <numFmt numFmtId="190" formatCode="0.000000000000000000000000E+00"/>
    <numFmt numFmtId="191" formatCode="0.0000000000000000000000000E+00"/>
    <numFmt numFmtId="192" formatCode="0.00000000000000000000000000E+00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0.0000000000000000000000"/>
    <numFmt numFmtId="212" formatCode="0.00000000000000000000000"/>
    <numFmt numFmtId="213" formatCode="0.000000000000000000000000"/>
    <numFmt numFmtId="214" formatCode="0.0000000000000000000000000"/>
    <numFmt numFmtId="215" formatCode="0.00000000000000000000000000"/>
    <numFmt numFmtId="216" formatCode="0.000000000000000000000000000"/>
    <numFmt numFmtId="217" formatCode="0.0000000000000000000000000000"/>
    <numFmt numFmtId="218" formatCode="0.00000000000000000000000000000"/>
    <numFmt numFmtId="219" formatCode="0.000000000000000000000000000000"/>
    <numFmt numFmtId="220" formatCode="0.000000000000000000000000000000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24" borderId="10" xfId="0" applyFont="1" applyFill="1" applyBorder="1" applyAlignment="1">
      <alignment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2" fillId="24" borderId="10" xfId="53" applyFont="1" applyFill="1" applyBorder="1" applyAlignment="1">
      <alignment horizontal="center" vertical="top" wrapText="1"/>
      <protection/>
    </xf>
    <xf numFmtId="0" fontId="4" fillId="24" borderId="10" xfId="0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1" fontId="4" fillId="24" borderId="11" xfId="0" applyNumberFormat="1" applyFont="1" applyFill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 quotePrefix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2" fontId="4" fillId="24" borderId="0" xfId="0" applyNumberFormat="1" applyFont="1" applyFill="1" applyAlignment="1">
      <alignment horizontal="center" vertical="center"/>
    </xf>
    <xf numFmtId="0" fontId="4" fillId="24" borderId="18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0" fontId="29" fillId="24" borderId="18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/>
    </xf>
    <xf numFmtId="1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 horizontal="center" vertical="center"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0" fontId="2" fillId="24" borderId="12" xfId="53" applyFont="1" applyFill="1" applyBorder="1" applyAlignment="1">
      <alignment vertical="center" wrapText="1"/>
      <protection/>
    </xf>
    <xf numFmtId="0" fontId="2" fillId="24" borderId="19" xfId="53" applyFont="1" applyFill="1" applyBorder="1" applyAlignment="1">
      <alignment vertical="center" wrapText="1"/>
      <protection/>
    </xf>
    <xf numFmtId="2" fontId="2" fillId="24" borderId="0" xfId="0" applyNumberFormat="1" applyFont="1" applyFill="1" applyAlignment="1">
      <alignment/>
    </xf>
    <xf numFmtId="164" fontId="4" fillId="24" borderId="0" xfId="0" applyNumberFormat="1" applyFont="1" applyFill="1" applyAlignment="1">
      <alignment horizontal="center" vertical="center"/>
    </xf>
    <xf numFmtId="1" fontId="4" fillId="24" borderId="10" xfId="0" applyNumberFormat="1" applyFont="1" applyFill="1" applyBorder="1" applyAlignment="1">
      <alignment vertical="center"/>
    </xf>
    <xf numFmtId="0" fontId="2" fillId="24" borderId="13" xfId="53" applyFont="1" applyFill="1" applyBorder="1" applyAlignment="1">
      <alignment horizontal="center" vertical="top" wrapText="1"/>
      <protection/>
    </xf>
    <xf numFmtId="2" fontId="2" fillId="24" borderId="13" xfId="53" applyNumberFormat="1" applyFont="1" applyFill="1" applyBorder="1" applyAlignment="1">
      <alignment horizontal="center" vertical="top" wrapText="1"/>
      <protection/>
    </xf>
    <xf numFmtId="0" fontId="2" fillId="24" borderId="10" xfId="0" applyFont="1" applyFill="1" applyBorder="1" applyAlignment="1">
      <alignment vertical="center"/>
    </xf>
    <xf numFmtId="2" fontId="2" fillId="24" borderId="10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 wrapText="1"/>
    </xf>
    <xf numFmtId="0" fontId="4" fillId="24" borderId="11" xfId="0" applyNumberFormat="1" applyFont="1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vertical="center" wrapText="1"/>
    </xf>
    <xf numFmtId="0" fontId="4" fillId="24" borderId="11" xfId="0" applyNumberFormat="1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 wrapText="1"/>
    </xf>
    <xf numFmtId="2" fontId="29" fillId="24" borderId="10" xfId="0" applyNumberFormat="1" applyFont="1" applyFill="1" applyBorder="1" applyAlignment="1">
      <alignment vertical="center"/>
    </xf>
    <xf numFmtId="1" fontId="29" fillId="24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wrapText="1"/>
    </xf>
    <xf numFmtId="0" fontId="2" fillId="24" borderId="15" xfId="53" applyFont="1" applyFill="1" applyBorder="1" applyAlignment="1" quotePrefix="1">
      <alignment vertical="top" wrapText="1"/>
      <protection/>
    </xf>
    <xf numFmtId="0" fontId="2" fillId="24" borderId="15" xfId="53" applyFont="1" applyFill="1" applyBorder="1" applyAlignment="1">
      <alignment vertical="top" wrapText="1"/>
      <protection/>
    </xf>
    <xf numFmtId="1" fontId="2" fillId="24" borderId="10" xfId="53" applyNumberFormat="1" applyFont="1" applyFill="1" applyBorder="1" applyAlignment="1">
      <alignment horizontal="center" vertical="center" wrapText="1"/>
      <protection/>
    </xf>
    <xf numFmtId="1" fontId="2" fillId="24" borderId="10" xfId="53" applyNumberFormat="1" applyFont="1" applyFill="1" applyBorder="1" applyAlignment="1">
      <alignment horizontal="center" vertical="top" wrapText="1"/>
      <protection/>
    </xf>
    <xf numFmtId="1" fontId="2" fillId="24" borderId="13" xfId="53" applyNumberFormat="1" applyFont="1" applyFill="1" applyBorder="1" applyAlignment="1">
      <alignment horizontal="center" vertical="top" wrapText="1"/>
      <protection/>
    </xf>
    <xf numFmtId="1" fontId="4" fillId="24" borderId="13" xfId="0" applyNumberFormat="1" applyFont="1" applyFill="1" applyBorder="1" applyAlignment="1">
      <alignment horizontal="center" vertical="center"/>
    </xf>
    <xf numFmtId="1" fontId="4" fillId="24" borderId="13" xfId="0" applyNumberFormat="1" applyFont="1" applyFill="1" applyBorder="1" applyAlignment="1">
      <alignment horizontal="center" vertical="center" wrapText="1"/>
    </xf>
    <xf numFmtId="2" fontId="4" fillId="24" borderId="13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53" applyFont="1" applyFill="1" applyBorder="1" applyAlignment="1">
      <alignment horizontal="center" vertical="center" wrapText="1"/>
      <protection/>
    </xf>
    <xf numFmtId="0" fontId="2" fillId="24" borderId="15" xfId="53" applyFont="1" applyFill="1" applyBorder="1" applyAlignment="1">
      <alignment vertical="center" wrapText="1"/>
      <protection/>
    </xf>
    <xf numFmtId="0" fontId="2" fillId="24" borderId="20" xfId="53" applyFont="1" applyFill="1" applyBorder="1" applyAlignment="1">
      <alignment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1" fontId="2" fillId="24" borderId="19" xfId="0" applyNumberFormat="1" applyFont="1" applyFill="1" applyBorder="1" applyAlignment="1">
      <alignment horizontal="center" vertical="top" wrapText="1"/>
    </xf>
    <xf numFmtId="0" fontId="31" fillId="24" borderId="0" xfId="0" applyFont="1" applyFill="1" applyAlignment="1">
      <alignment vertical="center"/>
    </xf>
    <xf numFmtId="2" fontId="2" fillId="24" borderId="10" xfId="0" applyNumberFormat="1" applyFont="1" applyFill="1" applyBorder="1" applyAlignment="1">
      <alignment vertical="center" wrapText="1"/>
    </xf>
    <xf numFmtId="2" fontId="2" fillId="24" borderId="19" xfId="0" applyNumberFormat="1" applyFont="1" applyFill="1" applyBorder="1" applyAlignment="1">
      <alignment vertical="center" wrapText="1"/>
    </xf>
    <xf numFmtId="0" fontId="31" fillId="24" borderId="0" xfId="0" applyFont="1" applyFill="1" applyAlignment="1">
      <alignment horizontal="center"/>
    </xf>
    <xf numFmtId="2" fontId="31" fillId="24" borderId="0" xfId="0" applyNumberFormat="1" applyFont="1" applyFill="1" applyAlignment="1">
      <alignment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vertical="center" wrapText="1"/>
    </xf>
    <xf numFmtId="0" fontId="2" fillId="24" borderId="14" xfId="53" applyFont="1" applyFill="1" applyBorder="1" applyAlignment="1">
      <alignment horizontal="center" vertical="center" wrapText="1"/>
      <protection/>
    </xf>
    <xf numFmtId="14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wrapText="1"/>
    </xf>
    <xf numFmtId="0" fontId="31" fillId="24" borderId="10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/>
    </xf>
    <xf numFmtId="17" fontId="31" fillId="24" borderId="10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1" fillId="24" borderId="14" xfId="0" applyFont="1" applyFill="1" applyBorder="1" applyAlignment="1">
      <alignment horizontal="center" textRotation="90"/>
    </xf>
    <xf numFmtId="0" fontId="31" fillId="24" borderId="11" xfId="0" applyFont="1" applyFill="1" applyBorder="1" applyAlignment="1">
      <alignment horizontal="center" textRotation="90" wrapText="1"/>
    </xf>
    <xf numFmtId="0" fontId="31" fillId="24" borderId="21" xfId="0" applyFont="1" applyFill="1" applyBorder="1" applyAlignment="1">
      <alignment horizontal="center" textRotation="90" wrapText="1"/>
    </xf>
    <xf numFmtId="0" fontId="31" fillId="24" borderId="14" xfId="0" applyFont="1" applyFill="1" applyBorder="1" applyAlignment="1">
      <alignment horizontal="center" textRotation="90" wrapText="1"/>
    </xf>
    <xf numFmtId="0" fontId="3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2" fillId="24" borderId="0" xfId="0" applyFont="1" applyFill="1" applyAlignment="1" quotePrefix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wrapText="1"/>
    </xf>
    <xf numFmtId="0" fontId="2" fillId="24" borderId="14" xfId="53" applyFont="1" applyFill="1" applyBorder="1" applyAlignment="1">
      <alignment horizontal="center" vertical="center" wrapText="1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2" fillId="24" borderId="22" xfId="53" applyFont="1" applyFill="1" applyBorder="1" applyAlignment="1">
      <alignment horizontal="center" vertical="center" wrapText="1"/>
      <protection/>
    </xf>
    <xf numFmtId="0" fontId="2" fillId="24" borderId="15" xfId="53" applyFont="1" applyFill="1" applyBorder="1" applyAlignment="1">
      <alignment horizontal="center" vertical="center" wrapText="1"/>
      <protection/>
    </xf>
    <xf numFmtId="1" fontId="2" fillId="24" borderId="10" xfId="53" applyNumberFormat="1" applyFont="1" applyFill="1" applyBorder="1" applyAlignment="1" quotePrefix="1">
      <alignment horizontal="center" vertical="center" textRotation="90" wrapText="1"/>
      <protection/>
    </xf>
    <xf numFmtId="0" fontId="2" fillId="24" borderId="14" xfId="53" applyFont="1" applyFill="1" applyBorder="1" applyAlignment="1" quotePrefix="1">
      <alignment horizontal="center" vertical="top" textRotation="90" wrapText="1"/>
      <protection/>
    </xf>
    <xf numFmtId="0" fontId="2" fillId="24" borderId="10" xfId="53" applyFont="1" applyFill="1" applyBorder="1" applyAlignment="1">
      <alignment horizontal="center" vertical="top" textRotation="90" wrapText="1"/>
      <protection/>
    </xf>
    <xf numFmtId="0" fontId="2" fillId="24" borderId="15" xfId="53" applyFont="1" applyFill="1" applyBorder="1" applyAlignment="1" quotePrefix="1">
      <alignment horizontal="center" vertical="top" wrapText="1"/>
      <protection/>
    </xf>
    <xf numFmtId="0" fontId="2" fillId="24" borderId="10" xfId="53" applyFont="1" applyFill="1" applyBorder="1" applyAlignment="1">
      <alignment horizontal="center" vertical="center" textRotation="90" wrapText="1"/>
      <protection/>
    </xf>
    <xf numFmtId="1" fontId="2" fillId="24" borderId="10" xfId="53" applyNumberFormat="1" applyFont="1" applyFill="1" applyBorder="1" applyAlignment="1">
      <alignment horizontal="center" vertical="center" textRotation="90" wrapText="1"/>
      <protection/>
    </xf>
    <xf numFmtId="0" fontId="2" fillId="24" borderId="13" xfId="53" applyFont="1" applyFill="1" applyBorder="1" applyAlignment="1">
      <alignment horizontal="center" vertical="center" wrapText="1"/>
      <protection/>
    </xf>
    <xf numFmtId="0" fontId="2" fillId="24" borderId="19" xfId="53" applyFont="1" applyFill="1" applyBorder="1" applyAlignment="1">
      <alignment horizontal="center" vertical="center" wrapText="1"/>
      <protection/>
    </xf>
    <xf numFmtId="0" fontId="2" fillId="24" borderId="14" xfId="53" applyFont="1" applyFill="1" applyBorder="1" applyAlignment="1">
      <alignment horizontal="center" vertical="center" textRotation="90" wrapText="1"/>
      <protection/>
    </xf>
    <xf numFmtId="0" fontId="2" fillId="24" borderId="21" xfId="53" applyFont="1" applyFill="1" applyBorder="1" applyAlignment="1">
      <alignment horizontal="center" vertical="center" textRotation="90" wrapText="1"/>
      <protection/>
    </xf>
    <xf numFmtId="0" fontId="2" fillId="24" borderId="11" xfId="53" applyFont="1" applyFill="1" applyBorder="1" applyAlignment="1">
      <alignment horizontal="center" vertical="center" wrapText="1"/>
      <protection/>
    </xf>
    <xf numFmtId="0" fontId="2" fillId="24" borderId="21" xfId="53" applyFont="1" applyFill="1" applyBorder="1" applyAlignment="1">
      <alignment horizontal="center" vertical="center" wrapText="1"/>
      <protection/>
    </xf>
    <xf numFmtId="0" fontId="2" fillId="24" borderId="11" xfId="53" applyFont="1" applyFill="1" applyBorder="1" applyAlignment="1">
      <alignment horizontal="center" vertical="center" textRotation="90" wrapText="1"/>
      <protection/>
    </xf>
    <xf numFmtId="0" fontId="31" fillId="24" borderId="10" xfId="0" applyFont="1" applyFill="1" applyBorder="1" applyAlignment="1">
      <alignment horizontal="center" textRotation="90"/>
    </xf>
    <xf numFmtId="0" fontId="31" fillId="24" borderId="11" xfId="0" applyFont="1" applyFill="1" applyBorder="1" applyAlignment="1">
      <alignment horizontal="center" textRotation="90"/>
    </xf>
    <xf numFmtId="0" fontId="31" fillId="24" borderId="21" xfId="0" applyFont="1" applyFill="1" applyBorder="1" applyAlignment="1">
      <alignment horizontal="center" textRotation="90"/>
    </xf>
    <xf numFmtId="0" fontId="2" fillId="24" borderId="14" xfId="53" applyFont="1" applyFill="1" applyBorder="1" applyAlignment="1" quotePrefix="1">
      <alignment horizontal="center" vertical="center" textRotation="90" wrapText="1"/>
      <protection/>
    </xf>
    <xf numFmtId="0" fontId="10" fillId="0" borderId="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75" zoomScaleNormal="75" zoomScaleSheetLayoutView="75" zoomScalePageLayoutView="0" workbookViewId="0" topLeftCell="A58">
      <selection activeCell="E67" sqref="E67"/>
    </sheetView>
  </sheetViews>
  <sheetFormatPr defaultColWidth="9.140625" defaultRowHeight="15"/>
  <cols>
    <col min="1" max="1" width="4.57421875" style="23" customWidth="1"/>
    <col min="2" max="2" width="30.00390625" style="21" customWidth="1"/>
    <col min="3" max="3" width="12.421875" style="23" customWidth="1"/>
    <col min="4" max="4" width="12.421875" style="23" hidden="1" customWidth="1"/>
    <col min="5" max="5" width="13.140625" style="23" customWidth="1"/>
    <col min="6" max="6" width="11.00390625" style="23" customWidth="1"/>
    <col min="7" max="7" width="9.140625" style="23" customWidth="1"/>
    <col min="8" max="8" width="11.421875" style="23" customWidth="1"/>
    <col min="9" max="9" width="6.8515625" style="23" customWidth="1"/>
    <col min="10" max="10" width="11.00390625" style="23" customWidth="1"/>
    <col min="11" max="11" width="7.8515625" style="23" customWidth="1"/>
    <col min="12" max="12" width="9.140625" style="23" customWidth="1"/>
    <col min="13" max="13" width="8.00390625" style="23" customWidth="1"/>
    <col min="14" max="17" width="9.140625" style="23" customWidth="1"/>
    <col min="18" max="16384" width="9.140625" style="20" customWidth="1"/>
  </cols>
  <sheetData>
    <row r="1" spans="12:16" ht="81" customHeight="1">
      <c r="L1" s="128" t="s">
        <v>216</v>
      </c>
      <c r="M1" s="128"/>
      <c r="N1" s="128"/>
      <c r="O1" s="128"/>
      <c r="P1" s="128"/>
    </row>
    <row r="2" spans="2:17" ht="65.25" customHeight="1">
      <c r="B2" s="34"/>
      <c r="K2" s="134" t="s">
        <v>214</v>
      </c>
      <c r="L2" s="134"/>
      <c r="M2" s="134"/>
      <c r="N2" s="134"/>
      <c r="O2" s="134"/>
      <c r="P2" s="134"/>
      <c r="Q2" s="67"/>
    </row>
    <row r="3" spans="1:17" ht="38.25" customHeight="1">
      <c r="A3" s="130" t="s">
        <v>113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ht="12.75">
      <c r="A4" s="32"/>
      <c r="B4" s="35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</row>
    <row r="5" spans="1:17" ht="116.25">
      <c r="A5" s="93" t="s">
        <v>0</v>
      </c>
      <c r="B5" s="16" t="s">
        <v>20</v>
      </c>
      <c r="C5" s="17" t="s">
        <v>21</v>
      </c>
      <c r="D5" s="17"/>
      <c r="E5" s="18" t="s">
        <v>22</v>
      </c>
      <c r="F5" s="18" t="s">
        <v>23</v>
      </c>
      <c r="G5" s="132" t="s">
        <v>24</v>
      </c>
      <c r="H5" s="132"/>
      <c r="I5" s="132" t="s">
        <v>25</v>
      </c>
      <c r="J5" s="132"/>
      <c r="K5" s="132" t="s">
        <v>26</v>
      </c>
      <c r="L5" s="132"/>
      <c r="M5" s="132" t="s">
        <v>27</v>
      </c>
      <c r="N5" s="132"/>
      <c r="O5" s="132" t="s">
        <v>28</v>
      </c>
      <c r="P5" s="133"/>
      <c r="Q5" s="18" t="s">
        <v>33</v>
      </c>
    </row>
    <row r="6" spans="1:17" ht="25.5">
      <c r="A6" s="93"/>
      <c r="B6" s="16" t="s">
        <v>29</v>
      </c>
      <c r="C6" s="93" t="s">
        <v>14</v>
      </c>
      <c r="D6" s="93"/>
      <c r="E6" s="93" t="s">
        <v>14</v>
      </c>
      <c r="F6" s="93" t="s">
        <v>14</v>
      </c>
      <c r="G6" s="93" t="s">
        <v>12</v>
      </c>
      <c r="H6" s="93" t="s">
        <v>14</v>
      </c>
      <c r="I6" s="93" t="s">
        <v>30</v>
      </c>
      <c r="J6" s="93" t="s">
        <v>14</v>
      </c>
      <c r="K6" s="93" t="s">
        <v>12</v>
      </c>
      <c r="L6" s="93" t="s">
        <v>14</v>
      </c>
      <c r="M6" s="93" t="s">
        <v>12</v>
      </c>
      <c r="N6" s="93" t="s">
        <v>14</v>
      </c>
      <c r="O6" s="93" t="s">
        <v>31</v>
      </c>
      <c r="P6" s="94" t="s">
        <v>14</v>
      </c>
      <c r="Q6" s="93" t="s">
        <v>14</v>
      </c>
    </row>
    <row r="7" spans="1:17" ht="12.75">
      <c r="A7" s="30">
        <v>1</v>
      </c>
      <c r="B7" s="36">
        <v>2</v>
      </c>
      <c r="C7" s="30">
        <v>3</v>
      </c>
      <c r="D7" s="30"/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1">
        <v>15</v>
      </c>
      <c r="Q7" s="93">
        <v>15</v>
      </c>
    </row>
    <row r="8" spans="1:17" ht="12.75">
      <c r="A8" s="129" t="s">
        <v>32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</row>
    <row r="9" spans="1:17" ht="20.25" customHeight="1">
      <c r="A9" s="4">
        <v>1</v>
      </c>
      <c r="B9" s="8" t="s">
        <v>99</v>
      </c>
      <c r="C9" s="4">
        <v>6112673</v>
      </c>
      <c r="D9" s="4">
        <f>C9-E9-F9-H9-J9-L9-N9-P9-Q9</f>
        <v>0</v>
      </c>
      <c r="E9" s="4">
        <v>5527193</v>
      </c>
      <c r="F9" s="4">
        <v>585480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0.25" customHeight="1">
      <c r="A10" s="4">
        <f>A9+1</f>
        <v>2</v>
      </c>
      <c r="B10" s="8" t="s">
        <v>64</v>
      </c>
      <c r="C10" s="2">
        <v>2969365</v>
      </c>
      <c r="D10" s="4">
        <f aca="true" t="shared" si="0" ref="D10:D73">C10-E10-F10-H10-J10-L10-N10-P10-Q10</f>
        <v>0</v>
      </c>
      <c r="E10" s="4">
        <v>2969365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0.25" customHeight="1">
      <c r="A11" s="4">
        <f aca="true" t="shared" si="1" ref="A11:A73">A10+1</f>
        <v>3</v>
      </c>
      <c r="B11" s="8" t="s">
        <v>65</v>
      </c>
      <c r="C11" s="2">
        <v>1640656</v>
      </c>
      <c r="D11" s="4">
        <f t="shared" si="0"/>
        <v>0</v>
      </c>
      <c r="E11" s="4">
        <v>667106</v>
      </c>
      <c r="F11" s="4">
        <v>226834</v>
      </c>
      <c r="G11" s="4">
        <v>504</v>
      </c>
      <c r="H11" s="4">
        <v>746716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20.25" customHeight="1">
      <c r="A12" s="4">
        <f t="shared" si="1"/>
        <v>4</v>
      </c>
      <c r="B12" s="8" t="s">
        <v>122</v>
      </c>
      <c r="C12" s="4">
        <v>1677117</v>
      </c>
      <c r="D12" s="4">
        <f t="shared" si="0"/>
        <v>0</v>
      </c>
      <c r="E12" s="4">
        <v>1377117</v>
      </c>
      <c r="F12" s="4">
        <v>300000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0.25" customHeight="1">
      <c r="A13" s="4">
        <f t="shared" si="1"/>
        <v>5</v>
      </c>
      <c r="B13" s="8" t="s">
        <v>123</v>
      </c>
      <c r="C13" s="2">
        <f>2314897</f>
        <v>2314897</v>
      </c>
      <c r="D13" s="4">
        <f t="shared" si="0"/>
        <v>0</v>
      </c>
      <c r="E13" s="4">
        <v>907965</v>
      </c>
      <c r="F13" s="4">
        <v>422732</v>
      </c>
      <c r="G13" s="4">
        <v>1036</v>
      </c>
      <c r="H13" s="4">
        <f>G13*950</f>
        <v>984200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ht="20.25" customHeight="1">
      <c r="A14" s="4">
        <f t="shared" si="1"/>
        <v>6</v>
      </c>
      <c r="B14" s="8" t="s">
        <v>133</v>
      </c>
      <c r="C14" s="2">
        <v>2007986</v>
      </c>
      <c r="D14" s="4">
        <f t="shared" si="0"/>
        <v>0</v>
      </c>
      <c r="E14" s="4">
        <v>861641</v>
      </c>
      <c r="F14" s="4">
        <v>164995</v>
      </c>
      <c r="G14" s="4">
        <v>1033</v>
      </c>
      <c r="H14" s="4">
        <f>G14*950</f>
        <v>981350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ht="20.25" customHeight="1">
      <c r="A15" s="4">
        <f t="shared" si="1"/>
        <v>7</v>
      </c>
      <c r="B15" s="9" t="s">
        <v>109</v>
      </c>
      <c r="C15" s="4">
        <f>3206057+129134</f>
        <v>3335191</v>
      </c>
      <c r="D15" s="4">
        <f t="shared" si="0"/>
        <v>0</v>
      </c>
      <c r="E15" s="4">
        <v>706057</v>
      </c>
      <c r="F15" s="4"/>
      <c r="G15" s="4"/>
      <c r="H15" s="4"/>
      <c r="I15" s="4">
        <v>2</v>
      </c>
      <c r="J15" s="4">
        <f>I15*1314567</f>
        <v>2629134</v>
      </c>
      <c r="K15" s="4"/>
      <c r="L15" s="4"/>
      <c r="M15" s="4"/>
      <c r="N15" s="4"/>
      <c r="O15" s="4"/>
      <c r="P15" s="4"/>
      <c r="Q15" s="4"/>
    </row>
    <row r="16" spans="1:17" ht="20.25" customHeight="1">
      <c r="A16" s="4">
        <f t="shared" si="1"/>
        <v>8</v>
      </c>
      <c r="B16" s="9" t="s">
        <v>110</v>
      </c>
      <c r="C16" s="4">
        <f>2476923+23077+129134</f>
        <v>2629134</v>
      </c>
      <c r="D16" s="4">
        <f t="shared" si="0"/>
        <v>0</v>
      </c>
      <c r="E16" s="4"/>
      <c r="F16" s="4"/>
      <c r="G16" s="4"/>
      <c r="H16" s="4"/>
      <c r="I16" s="4">
        <v>2</v>
      </c>
      <c r="J16" s="4">
        <f>I16*1314567</f>
        <v>2629134</v>
      </c>
      <c r="K16" s="4"/>
      <c r="L16" s="4"/>
      <c r="M16" s="4"/>
      <c r="N16" s="4"/>
      <c r="O16" s="4"/>
      <c r="P16" s="4"/>
      <c r="Q16" s="4"/>
    </row>
    <row r="17" spans="1:17" ht="20.25" customHeight="1">
      <c r="A17" s="4">
        <f t="shared" si="1"/>
        <v>9</v>
      </c>
      <c r="B17" s="9" t="s">
        <v>111</v>
      </c>
      <c r="C17" s="4">
        <f>3989256+193701</f>
        <v>4182957</v>
      </c>
      <c r="D17" s="4">
        <f t="shared" si="0"/>
        <v>0</v>
      </c>
      <c r="E17" s="4">
        <f>239256</f>
        <v>239256</v>
      </c>
      <c r="F17" s="4"/>
      <c r="G17" s="4"/>
      <c r="H17" s="4"/>
      <c r="I17" s="4">
        <v>3</v>
      </c>
      <c r="J17" s="4">
        <f>I17*1314567</f>
        <v>3943701</v>
      </c>
      <c r="K17" s="4"/>
      <c r="L17" s="4"/>
      <c r="M17" s="4"/>
      <c r="N17" s="4"/>
      <c r="O17" s="4"/>
      <c r="P17" s="4"/>
      <c r="Q17" s="4"/>
    </row>
    <row r="18" spans="1:17" ht="20.25" customHeight="1">
      <c r="A18" s="4">
        <f t="shared" si="1"/>
        <v>10</v>
      </c>
      <c r="B18" s="9" t="s">
        <v>45</v>
      </c>
      <c r="C18" s="4">
        <f>3125923+129134</f>
        <v>3255057</v>
      </c>
      <c r="D18" s="4">
        <f t="shared" si="0"/>
        <v>0</v>
      </c>
      <c r="E18" s="4">
        <v>625923</v>
      </c>
      <c r="F18" s="4"/>
      <c r="G18" s="4"/>
      <c r="H18" s="4"/>
      <c r="I18" s="4">
        <v>2</v>
      </c>
      <c r="J18" s="4">
        <f>I18*1314567</f>
        <v>2629134</v>
      </c>
      <c r="K18" s="4"/>
      <c r="L18" s="4"/>
      <c r="M18" s="4"/>
      <c r="N18" s="4"/>
      <c r="O18" s="4"/>
      <c r="P18" s="4"/>
      <c r="Q18" s="4"/>
    </row>
    <row r="19" spans="1:17" ht="20.25" customHeight="1">
      <c r="A19" s="4">
        <f t="shared" si="1"/>
        <v>11</v>
      </c>
      <c r="B19" s="9" t="s">
        <v>112</v>
      </c>
      <c r="C19" s="4">
        <f>3125923+129134</f>
        <v>3255057</v>
      </c>
      <c r="D19" s="4">
        <f t="shared" si="0"/>
        <v>0</v>
      </c>
      <c r="E19" s="4">
        <v>625923</v>
      </c>
      <c r="F19" s="4"/>
      <c r="G19" s="4"/>
      <c r="H19" s="4"/>
      <c r="I19" s="4">
        <v>2</v>
      </c>
      <c r="J19" s="4">
        <f>I19*1314567</f>
        <v>2629134</v>
      </c>
      <c r="K19" s="4"/>
      <c r="L19" s="4"/>
      <c r="M19" s="4"/>
      <c r="N19" s="4"/>
      <c r="O19" s="4"/>
      <c r="P19" s="4"/>
      <c r="Q19" s="4"/>
    </row>
    <row r="20" spans="1:17" ht="20.25" customHeight="1">
      <c r="A20" s="4">
        <f t="shared" si="1"/>
        <v>12</v>
      </c>
      <c r="B20" s="8" t="s">
        <v>129</v>
      </c>
      <c r="C20" s="4">
        <v>3908476</v>
      </c>
      <c r="D20" s="4">
        <f t="shared" si="0"/>
        <v>0</v>
      </c>
      <c r="E20" s="4">
        <v>3368476</v>
      </c>
      <c r="F20" s="4">
        <v>540000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0.25" customHeight="1">
      <c r="A21" s="4">
        <f t="shared" si="1"/>
        <v>13</v>
      </c>
      <c r="B21" s="8" t="s">
        <v>121</v>
      </c>
      <c r="C21" s="2">
        <v>2584520</v>
      </c>
      <c r="D21" s="4">
        <f t="shared" si="0"/>
        <v>0</v>
      </c>
      <c r="E21" s="4">
        <v>2044520</v>
      </c>
      <c r="F21" s="4">
        <v>540000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0.25" customHeight="1">
      <c r="A22" s="4">
        <f t="shared" si="1"/>
        <v>14</v>
      </c>
      <c r="B22" s="10" t="s">
        <v>57</v>
      </c>
      <c r="C22" s="4">
        <v>2023156</v>
      </c>
      <c r="D22" s="4">
        <f t="shared" si="0"/>
        <v>0</v>
      </c>
      <c r="E22" s="4">
        <v>1835350</v>
      </c>
      <c r="F22" s="4">
        <v>187806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0.25" customHeight="1">
      <c r="A23" s="4">
        <f t="shared" si="1"/>
        <v>15</v>
      </c>
      <c r="B23" s="10" t="s">
        <v>124</v>
      </c>
      <c r="C23" s="4">
        <v>3064150</v>
      </c>
      <c r="D23" s="4">
        <f t="shared" si="0"/>
        <v>0</v>
      </c>
      <c r="E23" s="4">
        <v>1101721</v>
      </c>
      <c r="F23" s="4">
        <v>289000</v>
      </c>
      <c r="G23" s="4">
        <v>1123</v>
      </c>
      <c r="H23" s="4">
        <v>1673429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20.25" customHeight="1">
      <c r="A24" s="4">
        <f t="shared" si="1"/>
        <v>16</v>
      </c>
      <c r="B24" s="10" t="s">
        <v>58</v>
      </c>
      <c r="C24" s="4">
        <v>2479392</v>
      </c>
      <c r="D24" s="4">
        <f t="shared" si="0"/>
        <v>0</v>
      </c>
      <c r="E24" s="4">
        <v>2286621</v>
      </c>
      <c r="F24" s="4">
        <v>192771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0.25" customHeight="1">
      <c r="A25" s="4">
        <f t="shared" si="1"/>
        <v>17</v>
      </c>
      <c r="B25" s="11" t="s">
        <v>100</v>
      </c>
      <c r="C25" s="4">
        <f>1524143+64567</f>
        <v>1588710</v>
      </c>
      <c r="D25" s="4">
        <f t="shared" si="0"/>
        <v>0</v>
      </c>
      <c r="E25" s="4">
        <v>1314567</v>
      </c>
      <c r="F25" s="4">
        <v>274143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 customHeight="1">
      <c r="A26" s="4">
        <f t="shared" si="1"/>
        <v>18</v>
      </c>
      <c r="B26" s="8" t="s">
        <v>171</v>
      </c>
      <c r="C26" s="4">
        <v>5341823</v>
      </c>
      <c r="D26" s="4">
        <f t="shared" si="0"/>
        <v>0</v>
      </c>
      <c r="E26" s="4">
        <f>5341823-1320000</f>
        <v>4021823</v>
      </c>
      <c r="F26" s="4">
        <f>1320000</f>
        <v>1320000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0.25" customHeight="1">
      <c r="A27" s="4">
        <f t="shared" si="1"/>
        <v>19</v>
      </c>
      <c r="B27" s="8" t="s">
        <v>101</v>
      </c>
      <c r="C27" s="4">
        <v>3550000</v>
      </c>
      <c r="D27" s="4">
        <f t="shared" si="0"/>
        <v>0</v>
      </c>
      <c r="E27" s="4">
        <v>3550000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25" customHeight="1">
      <c r="A28" s="4">
        <f t="shared" si="1"/>
        <v>20</v>
      </c>
      <c r="B28" s="8" t="s">
        <v>38</v>
      </c>
      <c r="C28" s="4">
        <v>3386166</v>
      </c>
      <c r="D28" s="4">
        <f t="shared" si="0"/>
        <v>0</v>
      </c>
      <c r="E28" s="4">
        <v>1176166</v>
      </c>
      <c r="F28" s="4">
        <v>560000</v>
      </c>
      <c r="G28" s="4">
        <v>1100</v>
      </c>
      <c r="H28" s="4">
        <v>1650000</v>
      </c>
      <c r="I28" s="4"/>
      <c r="J28" s="4"/>
      <c r="K28" s="4"/>
      <c r="L28" s="4"/>
      <c r="M28" s="4"/>
      <c r="N28" s="4"/>
      <c r="O28" s="4"/>
      <c r="P28" s="4"/>
      <c r="Q28" s="4"/>
    </row>
    <row r="29" spans="1:17" ht="20.25" customHeight="1">
      <c r="A29" s="4">
        <f t="shared" si="1"/>
        <v>21</v>
      </c>
      <c r="B29" s="8" t="s">
        <v>39</v>
      </c>
      <c r="C29" s="4">
        <v>3435050</v>
      </c>
      <c r="D29" s="4">
        <f t="shared" si="0"/>
        <v>0</v>
      </c>
      <c r="E29" s="4">
        <v>2075050</v>
      </c>
      <c r="F29" s="4">
        <v>560000</v>
      </c>
      <c r="G29" s="4">
        <v>672</v>
      </c>
      <c r="H29" s="4">
        <v>800000</v>
      </c>
      <c r="I29" s="4"/>
      <c r="J29" s="4"/>
      <c r="K29" s="4"/>
      <c r="L29" s="4"/>
      <c r="M29" s="4"/>
      <c r="N29" s="4"/>
      <c r="O29" s="4"/>
      <c r="P29" s="4"/>
      <c r="Q29" s="4"/>
    </row>
    <row r="30" spans="1:17" ht="20.25" customHeight="1">
      <c r="A30" s="4">
        <f t="shared" si="1"/>
        <v>22</v>
      </c>
      <c r="B30" s="8" t="s">
        <v>125</v>
      </c>
      <c r="C30" s="4">
        <f>56667+2905000</f>
        <v>2961667</v>
      </c>
      <c r="D30" s="4">
        <f t="shared" si="0"/>
        <v>0</v>
      </c>
      <c r="E30" s="4">
        <v>2687667</v>
      </c>
      <c r="F30" s="4">
        <v>274000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25" customHeight="1">
      <c r="A31" s="4">
        <f t="shared" si="1"/>
        <v>23</v>
      </c>
      <c r="B31" s="8" t="s">
        <v>119</v>
      </c>
      <c r="C31" s="4">
        <f>56666+2950000</f>
        <v>3006666</v>
      </c>
      <c r="D31" s="4">
        <f t="shared" si="0"/>
        <v>0</v>
      </c>
      <c r="E31" s="4">
        <v>1950666</v>
      </c>
      <c r="F31" s="4"/>
      <c r="G31" s="4">
        <v>880</v>
      </c>
      <c r="H31" s="4">
        <f>G31*1200</f>
        <v>1056000</v>
      </c>
      <c r="I31" s="4"/>
      <c r="J31" s="4"/>
      <c r="K31" s="4"/>
      <c r="L31" s="4"/>
      <c r="M31" s="4"/>
      <c r="N31" s="4"/>
      <c r="O31" s="4"/>
      <c r="P31" s="4"/>
      <c r="Q31" s="4"/>
    </row>
    <row r="32" spans="1:17" ht="20.25" customHeight="1">
      <c r="A32" s="4">
        <f t="shared" si="1"/>
        <v>24</v>
      </c>
      <c r="B32" s="8" t="s">
        <v>120</v>
      </c>
      <c r="C32" s="4">
        <f>56667+2975000</f>
        <v>3031667</v>
      </c>
      <c r="D32" s="4">
        <f t="shared" si="0"/>
        <v>0</v>
      </c>
      <c r="E32" s="4">
        <v>1340467</v>
      </c>
      <c r="F32" s="4">
        <f>274000+60000</f>
        <v>334000</v>
      </c>
      <c r="G32" s="4">
        <v>1131</v>
      </c>
      <c r="H32" s="4">
        <f>G32*1200</f>
        <v>1357200</v>
      </c>
      <c r="I32" s="4"/>
      <c r="J32" s="4"/>
      <c r="K32" s="4"/>
      <c r="L32" s="4"/>
      <c r="M32" s="4"/>
      <c r="N32" s="4"/>
      <c r="O32" s="4"/>
      <c r="P32" s="4"/>
      <c r="Q32" s="4"/>
    </row>
    <row r="33" spans="1:17" ht="20.25" customHeight="1">
      <c r="A33" s="4">
        <f t="shared" si="1"/>
        <v>25</v>
      </c>
      <c r="B33" s="10" t="s">
        <v>66</v>
      </c>
      <c r="C33" s="4">
        <v>2376923</v>
      </c>
      <c r="D33" s="4">
        <f t="shared" si="0"/>
        <v>0</v>
      </c>
      <c r="E33" s="4">
        <v>2226923</v>
      </c>
      <c r="F33" s="4">
        <v>150000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 customHeight="1">
      <c r="A34" s="4">
        <f t="shared" si="1"/>
        <v>26</v>
      </c>
      <c r="B34" s="10" t="s">
        <v>67</v>
      </c>
      <c r="C34" s="4">
        <v>800000</v>
      </c>
      <c r="D34" s="4">
        <f t="shared" si="0"/>
        <v>0</v>
      </c>
      <c r="E34" s="4">
        <v>800000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 customHeight="1">
      <c r="A35" s="4">
        <f t="shared" si="1"/>
        <v>27</v>
      </c>
      <c r="B35" s="10" t="s">
        <v>68</v>
      </c>
      <c r="C35" s="4">
        <v>7266923</v>
      </c>
      <c r="D35" s="4">
        <f t="shared" si="0"/>
        <v>0</v>
      </c>
      <c r="E35" s="4">
        <v>1888655</v>
      </c>
      <c r="F35" s="4">
        <v>120000</v>
      </c>
      <c r="G35" s="4"/>
      <c r="H35" s="4"/>
      <c r="I35" s="4">
        <v>4</v>
      </c>
      <c r="J35" s="4">
        <f>I35*1314567</f>
        <v>5258268</v>
      </c>
      <c r="K35" s="4"/>
      <c r="L35" s="4"/>
      <c r="M35" s="4"/>
      <c r="N35" s="4"/>
      <c r="O35" s="4"/>
      <c r="P35" s="4"/>
      <c r="Q35" s="4"/>
    </row>
    <row r="36" spans="1:17" ht="20.25" customHeight="1">
      <c r="A36" s="4">
        <f t="shared" si="1"/>
        <v>28</v>
      </c>
      <c r="B36" s="12" t="s">
        <v>107</v>
      </c>
      <c r="C36" s="4">
        <f>4402023+64567</f>
        <v>4466590</v>
      </c>
      <c r="D36" s="4">
        <f t="shared" si="0"/>
        <v>0</v>
      </c>
      <c r="E36" s="4">
        <v>2817883</v>
      </c>
      <c r="F36" s="4">
        <f>60000+274140</f>
        <v>334140</v>
      </c>
      <c r="G36" s="4"/>
      <c r="H36" s="4"/>
      <c r="I36" s="4">
        <v>1</v>
      </c>
      <c r="J36" s="4">
        <v>1314567</v>
      </c>
      <c r="K36" s="4"/>
      <c r="L36" s="4"/>
      <c r="M36" s="4"/>
      <c r="N36" s="4"/>
      <c r="O36" s="4"/>
      <c r="P36" s="4"/>
      <c r="Q36" s="4"/>
    </row>
    <row r="37" spans="1:17" ht="20.25" customHeight="1">
      <c r="A37" s="4">
        <f t="shared" si="1"/>
        <v>29</v>
      </c>
      <c r="B37" s="12" t="s">
        <v>108</v>
      </c>
      <c r="C37" s="4">
        <v>1625023</v>
      </c>
      <c r="D37" s="4">
        <f t="shared" si="0"/>
        <v>0</v>
      </c>
      <c r="E37" s="4">
        <v>1350883</v>
      </c>
      <c r="F37" s="4">
        <v>274140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 customHeight="1">
      <c r="A38" s="4">
        <f t="shared" si="1"/>
        <v>30</v>
      </c>
      <c r="B38" s="12" t="s">
        <v>102</v>
      </c>
      <c r="C38" s="4">
        <v>3222393</v>
      </c>
      <c r="D38" s="4">
        <f t="shared" si="0"/>
        <v>0</v>
      </c>
      <c r="E38" s="4">
        <f>420090-35000</f>
        <v>385090</v>
      </c>
      <c r="F38" s="4">
        <v>35000</v>
      </c>
      <c r="G38" s="4">
        <v>2612.3</v>
      </c>
      <c r="H38" s="4">
        <f>2925380-123077</f>
        <v>2802303</v>
      </c>
      <c r="I38" s="4"/>
      <c r="J38" s="4"/>
      <c r="K38" s="4"/>
      <c r="L38" s="4"/>
      <c r="M38" s="4"/>
      <c r="N38" s="4"/>
      <c r="O38" s="4"/>
      <c r="P38" s="4"/>
      <c r="Q38" s="4"/>
    </row>
    <row r="39" spans="1:17" ht="20.25" customHeight="1">
      <c r="A39" s="4">
        <f t="shared" si="1"/>
        <v>31</v>
      </c>
      <c r="B39" s="9" t="s">
        <v>134</v>
      </c>
      <c r="C39" s="4">
        <v>1211923</v>
      </c>
      <c r="D39" s="4">
        <f t="shared" si="0"/>
        <v>0</v>
      </c>
      <c r="E39" s="4">
        <v>937783</v>
      </c>
      <c r="F39" s="4">
        <v>274140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 customHeight="1">
      <c r="A40" s="4">
        <f t="shared" si="1"/>
        <v>32</v>
      </c>
      <c r="B40" s="8" t="s">
        <v>103</v>
      </c>
      <c r="C40" s="4">
        <v>6908343</v>
      </c>
      <c r="D40" s="4">
        <f t="shared" si="0"/>
        <v>0</v>
      </c>
      <c r="E40" s="4">
        <v>3919513</v>
      </c>
      <c r="F40" s="4">
        <v>850000</v>
      </c>
      <c r="G40" s="4">
        <v>2440</v>
      </c>
      <c r="H40" s="4">
        <v>2138830</v>
      </c>
      <c r="I40" s="4"/>
      <c r="J40" s="4"/>
      <c r="K40" s="4"/>
      <c r="L40" s="4"/>
      <c r="M40" s="4"/>
      <c r="N40" s="4"/>
      <c r="O40" s="4"/>
      <c r="P40" s="4"/>
      <c r="Q40" s="4"/>
    </row>
    <row r="41" spans="1:17" ht="20.25" customHeight="1">
      <c r="A41" s="4">
        <f t="shared" si="1"/>
        <v>33</v>
      </c>
      <c r="B41" s="8" t="s">
        <v>44</v>
      </c>
      <c r="C41" s="4">
        <f>8358523+387402</f>
        <v>8745925</v>
      </c>
      <c r="D41" s="4">
        <f t="shared" si="0"/>
        <v>0</v>
      </c>
      <c r="E41" s="4"/>
      <c r="F41" s="4">
        <v>858523</v>
      </c>
      <c r="G41" s="4"/>
      <c r="H41" s="4"/>
      <c r="I41" s="4">
        <v>6</v>
      </c>
      <c r="J41" s="4">
        <f>I41*1314567</f>
        <v>7887402</v>
      </c>
      <c r="K41" s="4"/>
      <c r="L41" s="4"/>
      <c r="M41" s="4"/>
      <c r="N41" s="4"/>
      <c r="O41" s="4"/>
      <c r="P41" s="4"/>
      <c r="Q41" s="4"/>
    </row>
    <row r="42" spans="1:17" ht="20.25" customHeight="1">
      <c r="A42" s="4">
        <f t="shared" si="1"/>
        <v>34</v>
      </c>
      <c r="B42" s="10" t="s">
        <v>137</v>
      </c>
      <c r="C42" s="4">
        <v>3309165</v>
      </c>
      <c r="D42" s="4">
        <f t="shared" si="0"/>
        <v>0</v>
      </c>
      <c r="E42" s="4">
        <v>2356315</v>
      </c>
      <c r="F42" s="4"/>
      <c r="G42" s="4">
        <v>1003</v>
      </c>
      <c r="H42" s="4">
        <v>952850</v>
      </c>
      <c r="I42" s="4"/>
      <c r="J42" s="4"/>
      <c r="K42" s="4"/>
      <c r="L42" s="4"/>
      <c r="M42" s="4"/>
      <c r="N42" s="4"/>
      <c r="O42" s="4"/>
      <c r="P42" s="4"/>
      <c r="Q42" s="4"/>
    </row>
    <row r="43" spans="1:17" ht="20.25" customHeight="1">
      <c r="A43" s="4">
        <f t="shared" si="1"/>
        <v>35</v>
      </c>
      <c r="B43" s="9" t="s">
        <v>89</v>
      </c>
      <c r="C43" s="4">
        <v>2176810</v>
      </c>
      <c r="D43" s="4">
        <f t="shared" si="0"/>
        <v>0</v>
      </c>
      <c r="E43" s="4">
        <v>937660</v>
      </c>
      <c r="F43" s="4">
        <v>145290</v>
      </c>
      <c r="G43" s="4">
        <v>659</v>
      </c>
      <c r="H43" s="4">
        <v>593860</v>
      </c>
      <c r="I43" s="4"/>
      <c r="J43" s="4"/>
      <c r="K43" s="4"/>
      <c r="L43" s="4"/>
      <c r="M43" s="4">
        <v>635</v>
      </c>
      <c r="N43" s="4">
        <v>500000</v>
      </c>
      <c r="O43" s="4"/>
      <c r="P43" s="4"/>
      <c r="Q43" s="4"/>
    </row>
    <row r="44" spans="1:17" ht="20.25" customHeight="1">
      <c r="A44" s="4">
        <f t="shared" si="1"/>
        <v>36</v>
      </c>
      <c r="B44" s="9" t="s">
        <v>88</v>
      </c>
      <c r="C44" s="4">
        <v>4258030</v>
      </c>
      <c r="D44" s="4">
        <f t="shared" si="0"/>
        <v>0</v>
      </c>
      <c r="E44" s="4">
        <v>2876200</v>
      </c>
      <c r="F44" s="4">
        <v>388000</v>
      </c>
      <c r="G44" s="4">
        <v>1075</v>
      </c>
      <c r="H44" s="4">
        <v>993830</v>
      </c>
      <c r="I44" s="4"/>
      <c r="J44" s="4"/>
      <c r="K44" s="4"/>
      <c r="L44" s="4"/>
      <c r="M44" s="4"/>
      <c r="N44" s="4"/>
      <c r="O44" s="4"/>
      <c r="P44" s="4"/>
      <c r="Q44" s="4"/>
    </row>
    <row r="45" spans="1:17" ht="20.25" customHeight="1">
      <c r="A45" s="4">
        <f t="shared" si="1"/>
        <v>37</v>
      </c>
      <c r="B45" s="9" t="s">
        <v>72</v>
      </c>
      <c r="C45" s="4">
        <f>2974823</f>
        <v>2974823</v>
      </c>
      <c r="D45" s="4">
        <f t="shared" si="0"/>
        <v>0</v>
      </c>
      <c r="E45" s="4">
        <v>1629593</v>
      </c>
      <c r="F45" s="4">
        <v>351400</v>
      </c>
      <c r="G45" s="4">
        <v>1097</v>
      </c>
      <c r="H45" s="4">
        <v>993830</v>
      </c>
      <c r="I45" s="4"/>
      <c r="J45" s="4"/>
      <c r="K45" s="4"/>
      <c r="L45" s="4"/>
      <c r="M45" s="4"/>
      <c r="N45" s="4"/>
      <c r="O45" s="4"/>
      <c r="P45" s="4"/>
      <c r="Q45" s="4"/>
    </row>
    <row r="46" spans="1:17" ht="20.25" customHeight="1">
      <c r="A46" s="4">
        <f t="shared" si="1"/>
        <v>38</v>
      </c>
      <c r="B46" s="9" t="s">
        <v>104</v>
      </c>
      <c r="C46" s="4">
        <v>5325833</v>
      </c>
      <c r="D46" s="4">
        <f t="shared" si="0"/>
        <v>0</v>
      </c>
      <c r="E46" s="4">
        <v>3253883</v>
      </c>
      <c r="F46" s="4">
        <v>409450</v>
      </c>
      <c r="G46" s="19">
        <v>1750</v>
      </c>
      <c r="H46" s="19">
        <f>G46*950</f>
        <v>1662500</v>
      </c>
      <c r="I46" s="4"/>
      <c r="J46" s="4"/>
      <c r="K46" s="4"/>
      <c r="L46" s="4"/>
      <c r="M46" s="4"/>
      <c r="N46" s="4"/>
      <c r="O46" s="4"/>
      <c r="P46" s="4"/>
      <c r="Q46" s="4"/>
    </row>
    <row r="47" spans="1:17" ht="20.25" customHeight="1">
      <c r="A47" s="4">
        <f t="shared" si="1"/>
        <v>39</v>
      </c>
      <c r="B47" s="9" t="s">
        <v>132</v>
      </c>
      <c r="C47" s="33">
        <v>1314457</v>
      </c>
      <c r="D47" s="4">
        <f t="shared" si="0"/>
        <v>0</v>
      </c>
      <c r="E47" s="4">
        <v>410797</v>
      </c>
      <c r="F47" s="4">
        <f>274000+60000</f>
        <v>334000</v>
      </c>
      <c r="G47" s="4">
        <v>438.2</v>
      </c>
      <c r="H47" s="23">
        <f>G47*1300</f>
        <v>569660</v>
      </c>
      <c r="I47" s="4"/>
      <c r="J47" s="4"/>
      <c r="K47" s="4"/>
      <c r="L47" s="4"/>
      <c r="M47" s="4"/>
      <c r="N47" s="4"/>
      <c r="O47" s="4"/>
      <c r="P47" s="4"/>
      <c r="Q47" s="4"/>
    </row>
    <row r="48" spans="1:17" ht="20.25" customHeight="1">
      <c r="A48" s="4">
        <f t="shared" si="1"/>
        <v>40</v>
      </c>
      <c r="B48" s="13" t="s">
        <v>90</v>
      </c>
      <c r="C48" s="4">
        <v>1314567</v>
      </c>
      <c r="D48" s="4">
        <f t="shared" si="0"/>
        <v>0</v>
      </c>
      <c r="E48" s="4"/>
      <c r="F48" s="4"/>
      <c r="G48" s="4"/>
      <c r="H48" s="4"/>
      <c r="I48" s="4">
        <v>1</v>
      </c>
      <c r="J48" s="4">
        <v>1314567</v>
      </c>
      <c r="K48" s="4"/>
      <c r="L48" s="4"/>
      <c r="M48" s="4"/>
      <c r="N48" s="4"/>
      <c r="O48" s="4"/>
      <c r="P48" s="4"/>
      <c r="Q48" s="4"/>
    </row>
    <row r="49" spans="1:17" ht="20.25" customHeight="1">
      <c r="A49" s="4">
        <f t="shared" si="1"/>
        <v>41</v>
      </c>
      <c r="B49" s="8" t="s">
        <v>91</v>
      </c>
      <c r="C49" s="4">
        <v>5780954</v>
      </c>
      <c r="D49" s="4">
        <f t="shared" si="0"/>
        <v>0</v>
      </c>
      <c r="E49" s="4">
        <v>5375318</v>
      </c>
      <c r="F49" s="4">
        <v>405636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 customHeight="1">
      <c r="A50" s="4">
        <f t="shared" si="1"/>
        <v>42</v>
      </c>
      <c r="B50" s="8" t="s">
        <v>92</v>
      </c>
      <c r="C50" s="4">
        <v>5702513</v>
      </c>
      <c r="D50" s="4">
        <f t="shared" si="0"/>
        <v>0</v>
      </c>
      <c r="E50" s="4">
        <v>4673837</v>
      </c>
      <c r="F50" s="4">
        <v>1028676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 customHeight="1">
      <c r="A51" s="4">
        <f t="shared" si="1"/>
        <v>43</v>
      </c>
      <c r="B51" s="8" t="s">
        <v>93</v>
      </c>
      <c r="C51" s="4">
        <v>1362842</v>
      </c>
      <c r="D51" s="4">
        <f t="shared" si="0"/>
        <v>0</v>
      </c>
      <c r="E51" s="4"/>
      <c r="F51" s="4">
        <v>608128</v>
      </c>
      <c r="G51" s="4">
        <v>610</v>
      </c>
      <c r="H51" s="4">
        <v>754714</v>
      </c>
      <c r="I51" s="4"/>
      <c r="J51" s="4"/>
      <c r="K51" s="4"/>
      <c r="L51" s="4"/>
      <c r="M51" s="4"/>
      <c r="N51" s="4"/>
      <c r="O51" s="4"/>
      <c r="P51" s="4"/>
      <c r="Q51" s="4"/>
    </row>
    <row r="52" spans="1:17" ht="20.25" customHeight="1">
      <c r="A52" s="4">
        <f t="shared" si="1"/>
        <v>44</v>
      </c>
      <c r="B52" s="10" t="s">
        <v>218</v>
      </c>
      <c r="C52" s="4">
        <v>3952166</v>
      </c>
      <c r="D52" s="4">
        <f t="shared" si="0"/>
        <v>0</v>
      </c>
      <c r="E52" s="6">
        <v>2517599</v>
      </c>
      <c r="F52" s="6">
        <v>120000</v>
      </c>
      <c r="G52" s="6"/>
      <c r="H52" s="6"/>
      <c r="I52" s="23">
        <v>1</v>
      </c>
      <c r="J52" s="4">
        <v>1314567</v>
      </c>
      <c r="K52" s="6"/>
      <c r="L52" s="6"/>
      <c r="M52" s="6"/>
      <c r="N52" s="4"/>
      <c r="O52" s="4"/>
      <c r="P52" s="4"/>
      <c r="Q52" s="4"/>
    </row>
    <row r="53" spans="1:17" ht="20.25" customHeight="1">
      <c r="A53" s="4">
        <f t="shared" si="1"/>
        <v>45</v>
      </c>
      <c r="B53" s="8" t="s">
        <v>69</v>
      </c>
      <c r="C53" s="4">
        <v>5595103</v>
      </c>
      <c r="D53" s="4">
        <f t="shared" si="0"/>
        <v>0</v>
      </c>
      <c r="E53" s="26">
        <v>5419103</v>
      </c>
      <c r="F53" s="26">
        <v>176000</v>
      </c>
      <c r="G53" s="26"/>
      <c r="H53" s="26"/>
      <c r="I53" s="26"/>
      <c r="J53" s="26"/>
      <c r="K53" s="26"/>
      <c r="L53" s="26"/>
      <c r="M53" s="26"/>
      <c r="N53" s="4"/>
      <c r="O53" s="4"/>
      <c r="P53" s="4"/>
      <c r="Q53" s="4"/>
    </row>
    <row r="54" spans="1:17" ht="20.25" customHeight="1">
      <c r="A54" s="4">
        <f t="shared" si="1"/>
        <v>46</v>
      </c>
      <c r="B54" s="8" t="s">
        <v>94</v>
      </c>
      <c r="C54" s="4">
        <v>3628491</v>
      </c>
      <c r="D54" s="4">
        <f t="shared" si="0"/>
        <v>0</v>
      </c>
      <c r="E54" s="4">
        <f>2557491-120000</f>
        <v>2437491</v>
      </c>
      <c r="F54" s="4">
        <v>120000</v>
      </c>
      <c r="G54" s="4">
        <v>1020</v>
      </c>
      <c r="H54" s="4">
        <f>G54*1050</f>
        <v>1071000</v>
      </c>
      <c r="I54" s="4"/>
      <c r="J54" s="4"/>
      <c r="K54" s="4"/>
      <c r="L54" s="4"/>
      <c r="M54" s="4"/>
      <c r="N54" s="4"/>
      <c r="O54" s="4"/>
      <c r="P54" s="4"/>
      <c r="Q54" s="4"/>
    </row>
    <row r="55" spans="1:17" ht="20.25" customHeight="1">
      <c r="A55" s="4">
        <f t="shared" si="1"/>
        <v>47</v>
      </c>
      <c r="B55" s="10" t="s">
        <v>48</v>
      </c>
      <c r="C55" s="4">
        <f>204987+6165013+322835+1290470</f>
        <v>7983305</v>
      </c>
      <c r="D55" s="4">
        <f t="shared" si="0"/>
        <v>0</v>
      </c>
      <c r="E55" s="4"/>
      <c r="F55" s="4">
        <v>38090</v>
      </c>
      <c r="G55" s="4">
        <v>1542</v>
      </c>
      <c r="H55" s="4">
        <v>1372380</v>
      </c>
      <c r="I55" s="4">
        <v>5</v>
      </c>
      <c r="J55" s="4">
        <f>I55*1314567</f>
        <v>6572835</v>
      </c>
      <c r="K55" s="4"/>
      <c r="L55" s="4"/>
      <c r="M55" s="4"/>
      <c r="N55" s="4"/>
      <c r="O55" s="4"/>
      <c r="P55" s="4"/>
      <c r="Q55" s="4"/>
    </row>
    <row r="56" spans="1:17" ht="20.25" customHeight="1">
      <c r="A56" s="4">
        <f t="shared" si="1"/>
        <v>48</v>
      </c>
      <c r="B56" s="8" t="s">
        <v>62</v>
      </c>
      <c r="C56" s="4">
        <v>3268553</v>
      </c>
      <c r="D56" s="4">
        <f t="shared" si="0"/>
        <v>0</v>
      </c>
      <c r="E56" s="4">
        <v>1901943</v>
      </c>
      <c r="F56" s="4">
        <v>150570</v>
      </c>
      <c r="G56" s="4">
        <v>1204</v>
      </c>
      <c r="H56" s="4">
        <f>G56*1010</f>
        <v>1216040</v>
      </c>
      <c r="I56" s="4"/>
      <c r="J56" s="4"/>
      <c r="K56" s="4"/>
      <c r="L56" s="4"/>
      <c r="M56" s="4"/>
      <c r="N56" s="4"/>
      <c r="O56" s="4"/>
      <c r="P56" s="4"/>
      <c r="Q56" s="4"/>
    </row>
    <row r="57" spans="1:17" ht="20.25" customHeight="1">
      <c r="A57" s="4">
        <f t="shared" si="1"/>
        <v>49</v>
      </c>
      <c r="B57" s="8" t="s">
        <v>127</v>
      </c>
      <c r="C57" s="4">
        <v>3000000</v>
      </c>
      <c r="D57" s="4">
        <f t="shared" si="0"/>
        <v>0</v>
      </c>
      <c r="E57" s="4">
        <v>1122000</v>
      </c>
      <c r="F57" s="4">
        <v>120000</v>
      </c>
      <c r="G57" s="4">
        <v>2080.8</v>
      </c>
      <c r="H57" s="4">
        <v>1758000</v>
      </c>
      <c r="I57" s="4"/>
      <c r="J57" s="4"/>
      <c r="K57" s="4"/>
      <c r="L57" s="4"/>
      <c r="M57" s="4"/>
      <c r="N57" s="4"/>
      <c r="O57" s="4"/>
      <c r="P57" s="4"/>
      <c r="Q57" s="4"/>
    </row>
    <row r="58" spans="1:17" ht="20.25" customHeight="1">
      <c r="A58" s="4">
        <f t="shared" si="1"/>
        <v>50</v>
      </c>
      <c r="B58" s="8" t="s">
        <v>47</v>
      </c>
      <c r="C58" s="4">
        <f>1883607+100000</f>
        <v>1983607</v>
      </c>
      <c r="D58" s="4">
        <f t="shared" si="0"/>
        <v>0</v>
      </c>
      <c r="E58" s="4">
        <v>474223</v>
      </c>
      <c r="F58" s="4">
        <v>50360</v>
      </c>
      <c r="G58" s="4"/>
      <c r="H58" s="4"/>
      <c r="I58" s="4">
        <v>2</v>
      </c>
      <c r="J58" s="4">
        <f>1459024</f>
        <v>1459024</v>
      </c>
      <c r="K58" s="4"/>
      <c r="L58" s="4"/>
      <c r="M58" s="4"/>
      <c r="N58" s="4"/>
      <c r="O58" s="4"/>
      <c r="P58" s="4"/>
      <c r="Q58" s="4"/>
    </row>
    <row r="59" spans="1:17" ht="20.25" customHeight="1">
      <c r="A59" s="4">
        <f t="shared" si="1"/>
        <v>51</v>
      </c>
      <c r="B59" s="8" t="s">
        <v>59</v>
      </c>
      <c r="C59" s="4">
        <v>3534275</v>
      </c>
      <c r="D59" s="4">
        <f t="shared" si="0"/>
        <v>0</v>
      </c>
      <c r="E59" s="4">
        <v>3483915</v>
      </c>
      <c r="F59" s="4">
        <v>50360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 customHeight="1">
      <c r="A60" s="4">
        <f t="shared" si="1"/>
        <v>52</v>
      </c>
      <c r="B60" s="8" t="s">
        <v>60</v>
      </c>
      <c r="C60" s="4">
        <v>1789171</v>
      </c>
      <c r="D60" s="4">
        <f t="shared" si="0"/>
        <v>0</v>
      </c>
      <c r="E60" s="4">
        <v>1106963</v>
      </c>
      <c r="F60" s="4">
        <v>50360</v>
      </c>
      <c r="G60" s="4">
        <v>494</v>
      </c>
      <c r="H60" s="4">
        <v>631848</v>
      </c>
      <c r="I60" s="4"/>
      <c r="J60" s="4"/>
      <c r="K60" s="4"/>
      <c r="L60" s="4"/>
      <c r="M60" s="4"/>
      <c r="N60" s="4"/>
      <c r="O60" s="4"/>
      <c r="P60" s="4"/>
      <c r="Q60" s="4"/>
    </row>
    <row r="61" spans="1:17" ht="20.25" customHeight="1">
      <c r="A61" s="4">
        <f t="shared" si="1"/>
        <v>53</v>
      </c>
      <c r="B61" s="8" t="s">
        <v>74</v>
      </c>
      <c r="C61" s="4">
        <f>6826923</f>
        <v>6826923</v>
      </c>
      <c r="D61" s="4">
        <f t="shared" si="0"/>
        <v>0</v>
      </c>
      <c r="E61" s="4">
        <f>5236640</f>
        <v>5236640</v>
      </c>
      <c r="F61" s="4">
        <v>213952</v>
      </c>
      <c r="G61" s="4"/>
      <c r="H61" s="4"/>
      <c r="I61" s="4"/>
      <c r="J61" s="4"/>
      <c r="K61" s="4"/>
      <c r="L61" s="4"/>
      <c r="M61" s="4">
        <f>(65+13)*2*15</f>
        <v>2340</v>
      </c>
      <c r="N61" s="4">
        <v>1376331</v>
      </c>
      <c r="O61" s="4"/>
      <c r="P61" s="4"/>
      <c r="Q61" s="4"/>
    </row>
    <row r="62" spans="1:17" ht="20.25" customHeight="1">
      <c r="A62" s="4">
        <f t="shared" si="1"/>
        <v>54</v>
      </c>
      <c r="B62" s="8" t="s">
        <v>105</v>
      </c>
      <c r="C62" s="4">
        <v>2248101</v>
      </c>
      <c r="D62" s="4">
        <f t="shared" si="0"/>
        <v>0</v>
      </c>
      <c r="E62" s="4">
        <v>945776</v>
      </c>
      <c r="F62" s="23">
        <v>38400</v>
      </c>
      <c r="G62" s="4">
        <v>780</v>
      </c>
      <c r="H62" s="4">
        <v>1263925</v>
      </c>
      <c r="I62" s="4"/>
      <c r="J62" s="4"/>
      <c r="K62" s="4"/>
      <c r="L62" s="4"/>
      <c r="M62" s="4"/>
      <c r="N62" s="4"/>
      <c r="O62" s="4"/>
      <c r="P62" s="4"/>
      <c r="Q62" s="4"/>
    </row>
    <row r="63" spans="1:17" ht="20.25" customHeight="1">
      <c r="A63" s="4">
        <f t="shared" si="1"/>
        <v>55</v>
      </c>
      <c r="B63" s="8" t="s">
        <v>115</v>
      </c>
      <c r="C63" s="4">
        <v>2621006</v>
      </c>
      <c r="D63" s="4">
        <f t="shared" si="0"/>
        <v>0</v>
      </c>
      <c r="E63" s="4">
        <v>1222294</v>
      </c>
      <c r="F63" s="4"/>
      <c r="G63" s="4">
        <v>998</v>
      </c>
      <c r="H63" s="4">
        <v>1398712</v>
      </c>
      <c r="I63" s="4"/>
      <c r="J63" s="4"/>
      <c r="K63" s="4"/>
      <c r="L63" s="4"/>
      <c r="M63" s="4"/>
      <c r="N63" s="4"/>
      <c r="O63" s="4"/>
      <c r="P63" s="4"/>
      <c r="Q63" s="4"/>
    </row>
    <row r="64" spans="1:17" ht="20.25" customHeight="1">
      <c r="A64" s="4">
        <f t="shared" si="1"/>
        <v>56</v>
      </c>
      <c r="B64" s="8" t="s">
        <v>79</v>
      </c>
      <c r="C64" s="4">
        <v>3067253</v>
      </c>
      <c r="D64" s="4">
        <f t="shared" si="0"/>
        <v>0</v>
      </c>
      <c r="E64" s="4">
        <v>640553</v>
      </c>
      <c r="F64" s="4">
        <v>120000</v>
      </c>
      <c r="G64" s="4">
        <v>1202</v>
      </c>
      <c r="H64" s="4">
        <v>2306700</v>
      </c>
      <c r="I64" s="4"/>
      <c r="J64" s="4"/>
      <c r="K64" s="4"/>
      <c r="L64" s="4"/>
      <c r="M64" s="4"/>
      <c r="N64" s="4"/>
      <c r="O64" s="4"/>
      <c r="P64" s="4"/>
      <c r="Q64" s="4"/>
    </row>
    <row r="65" spans="1:17" ht="20.25" customHeight="1">
      <c r="A65" s="4">
        <f t="shared" si="1"/>
        <v>57</v>
      </c>
      <c r="B65" s="8" t="s">
        <v>80</v>
      </c>
      <c r="C65" s="4">
        <v>2975403</v>
      </c>
      <c r="D65" s="4">
        <f t="shared" si="0"/>
        <v>0</v>
      </c>
      <c r="E65" s="4">
        <v>1419462</v>
      </c>
      <c r="F65" s="4"/>
      <c r="G65" s="4">
        <v>967</v>
      </c>
      <c r="H65" s="4">
        <v>1555941</v>
      </c>
      <c r="I65" s="4"/>
      <c r="J65" s="4"/>
      <c r="K65" s="4"/>
      <c r="L65" s="4"/>
      <c r="M65" s="4"/>
      <c r="N65" s="4"/>
      <c r="O65" s="4"/>
      <c r="P65" s="4"/>
      <c r="Q65" s="4"/>
    </row>
    <row r="66" spans="1:17" ht="20.25" customHeight="1">
      <c r="A66" s="4">
        <f t="shared" si="1"/>
        <v>58</v>
      </c>
      <c r="B66" s="8" t="s">
        <v>81</v>
      </c>
      <c r="C66" s="4">
        <v>4296910</v>
      </c>
      <c r="D66" s="4">
        <f t="shared" si="0"/>
        <v>0</v>
      </c>
      <c r="E66" s="6">
        <v>2578500</v>
      </c>
      <c r="F66" s="6">
        <v>233010</v>
      </c>
      <c r="G66" s="6">
        <v>1061</v>
      </c>
      <c r="H66" s="6">
        <v>1485400</v>
      </c>
      <c r="I66" s="4"/>
      <c r="J66" s="4"/>
      <c r="K66" s="6"/>
      <c r="L66" s="6"/>
      <c r="M66" s="6"/>
      <c r="N66" s="4"/>
      <c r="O66" s="4"/>
      <c r="P66" s="4"/>
      <c r="Q66" s="4"/>
    </row>
    <row r="67" spans="1:17" ht="20.25" customHeight="1">
      <c r="A67" s="4">
        <f t="shared" si="1"/>
        <v>59</v>
      </c>
      <c r="B67" s="14" t="s">
        <v>95</v>
      </c>
      <c r="C67" s="4">
        <f>5132254+200000+417553.99+1629086</f>
        <v>7378893.99</v>
      </c>
      <c r="D67" s="4">
        <f t="shared" si="0"/>
        <v>0</v>
      </c>
      <c r="E67" s="4">
        <v>3716123.99</v>
      </c>
      <c r="F67" s="4"/>
      <c r="G67" s="4">
        <v>574</v>
      </c>
      <c r="H67" s="4">
        <f>487000*1.18</f>
        <v>574660</v>
      </c>
      <c r="I67" s="23">
        <v>2</v>
      </c>
      <c r="J67" s="4">
        <f>1459024+1629086</f>
        <v>3088110</v>
      </c>
      <c r="K67" s="4"/>
      <c r="L67" s="4"/>
      <c r="M67" s="4"/>
      <c r="N67" s="4"/>
      <c r="O67" s="4"/>
      <c r="P67" s="4"/>
      <c r="Q67" s="4"/>
    </row>
    <row r="68" spans="1:17" ht="20.25" customHeight="1">
      <c r="A68" s="4">
        <f t="shared" si="1"/>
        <v>60</v>
      </c>
      <c r="B68" s="15" t="s">
        <v>51</v>
      </c>
      <c r="C68" s="4">
        <v>3471947</v>
      </c>
      <c r="D68" s="4">
        <f t="shared" si="0"/>
        <v>0</v>
      </c>
      <c r="E68" s="4">
        <v>3433547</v>
      </c>
      <c r="F68" s="4">
        <v>38400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 customHeight="1">
      <c r="A69" s="4">
        <f t="shared" si="1"/>
        <v>61</v>
      </c>
      <c r="B69" s="8" t="s">
        <v>96</v>
      </c>
      <c r="C69" s="7">
        <v>4502190</v>
      </c>
      <c r="D69" s="4">
        <f t="shared" si="0"/>
        <v>0</v>
      </c>
      <c r="E69" s="4">
        <v>4502190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 customHeight="1">
      <c r="A70" s="4">
        <f t="shared" si="1"/>
        <v>62</v>
      </c>
      <c r="B70" s="8" t="s">
        <v>97</v>
      </c>
      <c r="C70" s="4">
        <v>4094075</v>
      </c>
      <c r="D70" s="4">
        <f t="shared" si="0"/>
        <v>0</v>
      </c>
      <c r="E70" s="4">
        <v>4094075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 customHeight="1">
      <c r="A71" s="4">
        <f t="shared" si="1"/>
        <v>63</v>
      </c>
      <c r="B71" s="8" t="s">
        <v>98</v>
      </c>
      <c r="C71" s="4">
        <v>5076319</v>
      </c>
      <c r="D71" s="4">
        <f t="shared" si="0"/>
        <v>0</v>
      </c>
      <c r="E71" s="4">
        <v>3849119</v>
      </c>
      <c r="F71" s="4"/>
      <c r="G71" s="19">
        <v>1100</v>
      </c>
      <c r="H71" s="19">
        <f>1040000*1.18</f>
        <v>1227200</v>
      </c>
      <c r="I71" s="4"/>
      <c r="J71" s="4"/>
      <c r="K71" s="4"/>
      <c r="L71" s="4"/>
      <c r="M71" s="4"/>
      <c r="N71" s="4"/>
      <c r="O71" s="4"/>
      <c r="P71" s="4"/>
      <c r="Q71" s="4"/>
    </row>
    <row r="72" spans="1:17" ht="20.25" customHeight="1">
      <c r="A72" s="4">
        <f t="shared" si="1"/>
        <v>64</v>
      </c>
      <c r="B72" s="8" t="s">
        <v>128</v>
      </c>
      <c r="C72" s="4">
        <v>3311000</v>
      </c>
      <c r="D72" s="4">
        <f t="shared" si="0"/>
        <v>0</v>
      </c>
      <c r="E72" s="19">
        <v>2073000</v>
      </c>
      <c r="F72" s="19">
        <v>138000</v>
      </c>
      <c r="G72" s="19">
        <v>814.7</v>
      </c>
      <c r="H72" s="19">
        <v>1100000</v>
      </c>
      <c r="I72" s="4"/>
      <c r="J72" s="4"/>
      <c r="K72" s="4"/>
      <c r="L72" s="4"/>
      <c r="M72" s="4"/>
      <c r="N72" s="4"/>
      <c r="O72" s="4"/>
      <c r="P72" s="4"/>
      <c r="Q72" s="4"/>
    </row>
    <row r="73" spans="1:17" ht="20.25" customHeight="1">
      <c r="A73" s="4">
        <f t="shared" si="1"/>
        <v>65</v>
      </c>
      <c r="B73" s="8" t="s">
        <v>116</v>
      </c>
      <c r="C73" s="4">
        <f>948000+1806360+600000</f>
        <v>3354360</v>
      </c>
      <c r="D73" s="4">
        <f t="shared" si="0"/>
        <v>0</v>
      </c>
      <c r="E73" s="4">
        <v>2040860</v>
      </c>
      <c r="F73" s="4">
        <v>38500</v>
      </c>
      <c r="G73" s="4">
        <v>850</v>
      </c>
      <c r="H73" s="4">
        <f>G73*1500</f>
        <v>1275000</v>
      </c>
      <c r="I73" s="4"/>
      <c r="J73" s="4"/>
      <c r="K73" s="4"/>
      <c r="L73" s="4"/>
      <c r="M73" s="4"/>
      <c r="N73" s="4"/>
      <c r="O73" s="4"/>
      <c r="P73" s="4"/>
      <c r="Q73" s="4"/>
    </row>
    <row r="74" spans="1:17" ht="20.25" customHeight="1">
      <c r="A74" s="4"/>
      <c r="B74" s="26"/>
      <c r="C74" s="5">
        <f aca="true" t="shared" si="2" ref="C74:Q74">SUM(C9:C73)</f>
        <v>231844621.99</v>
      </c>
      <c r="D74" s="5"/>
      <c r="E74" s="4">
        <f t="shared" si="2"/>
        <v>133316349.99</v>
      </c>
      <c r="F74" s="4">
        <f t="shared" si="2"/>
        <v>15034286</v>
      </c>
      <c r="G74" s="4">
        <f t="shared" si="2"/>
        <v>33851</v>
      </c>
      <c r="H74" s="4">
        <f t="shared" si="2"/>
        <v>38948078</v>
      </c>
      <c r="I74" s="4">
        <f t="shared" si="2"/>
        <v>33</v>
      </c>
      <c r="J74" s="4">
        <f t="shared" si="2"/>
        <v>42669577</v>
      </c>
      <c r="K74" s="4">
        <f t="shared" si="2"/>
        <v>0</v>
      </c>
      <c r="L74" s="4">
        <f t="shared" si="2"/>
        <v>0</v>
      </c>
      <c r="M74" s="4">
        <f t="shared" si="2"/>
        <v>2975</v>
      </c>
      <c r="N74" s="4">
        <f t="shared" si="2"/>
        <v>1876331</v>
      </c>
      <c r="O74" s="4">
        <f t="shared" si="2"/>
        <v>0</v>
      </c>
      <c r="P74" s="4">
        <f t="shared" si="2"/>
        <v>0</v>
      </c>
      <c r="Q74" s="4">
        <f t="shared" si="2"/>
        <v>0</v>
      </c>
    </row>
    <row r="75" ht="9.75" customHeight="1"/>
    <row r="76" spans="3:5" ht="12.75" hidden="1">
      <c r="C76" s="47">
        <v>231844621.99</v>
      </c>
      <c r="D76" s="47"/>
      <c r="E76" s="37">
        <f>E74+F74+H74+J74+L74+N74+Q74</f>
        <v>231844621.99</v>
      </c>
    </row>
    <row r="77" ht="12.75" hidden="1"/>
    <row r="78" spans="3:5" ht="12.75" hidden="1">
      <c r="C78" s="37">
        <f>C76-C74</f>
        <v>0</v>
      </c>
      <c r="D78" s="37"/>
      <c r="E78" s="37">
        <f>C76-E76</f>
        <v>0</v>
      </c>
    </row>
    <row r="79" spans="3:4" ht="12.75">
      <c r="C79" s="37"/>
      <c r="D79" s="37"/>
    </row>
    <row r="80" ht="15.75">
      <c r="B80" s="112" t="s">
        <v>210</v>
      </c>
    </row>
    <row r="82" spans="3:4" ht="12.75">
      <c r="C82" s="48"/>
      <c r="D82" s="48"/>
    </row>
  </sheetData>
  <sheetProtection/>
  <mergeCells count="9">
    <mergeCell ref="L1:P1"/>
    <mergeCell ref="A8:Q8"/>
    <mergeCell ref="A3:Q3"/>
    <mergeCell ref="G5:H5"/>
    <mergeCell ref="I5:J5"/>
    <mergeCell ref="K5:L5"/>
    <mergeCell ref="M5:N5"/>
    <mergeCell ref="O5:P5"/>
    <mergeCell ref="K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75" zoomScaleNormal="75" zoomScaleSheetLayoutView="75" zoomScalePageLayoutView="0" workbookViewId="0" topLeftCell="A1">
      <pane xSplit="5" ySplit="8" topLeftCell="F9" activePane="bottomRight" state="frozen"/>
      <selection pane="topLeft" activeCell="A1" sqref="A1"/>
      <selection pane="topRight" activeCell="Q1" sqref="Q1"/>
      <selection pane="bottomLeft" activeCell="A9" sqref="A9"/>
      <selection pane="bottomRight" activeCell="Q84" sqref="Q84"/>
    </sheetView>
  </sheetViews>
  <sheetFormatPr defaultColWidth="9.140625" defaultRowHeight="15"/>
  <cols>
    <col min="1" max="1" width="4.421875" style="103" customWidth="1"/>
    <col min="2" max="2" width="15.28125" style="103" customWidth="1"/>
    <col min="3" max="3" width="24.421875" style="103" customWidth="1"/>
    <col min="4" max="4" width="6.00390625" style="103" customWidth="1"/>
    <col min="5" max="5" width="33.140625" style="110" customWidth="1"/>
    <col min="6" max="6" width="12.7109375" style="103" customWidth="1"/>
    <col min="7" max="7" width="12.7109375" style="103" hidden="1" customWidth="1"/>
    <col min="8" max="8" width="12.57421875" style="103" customWidth="1"/>
    <col min="9" max="9" width="9.7109375" style="103" customWidth="1"/>
    <col min="10" max="10" width="8.7109375" style="103" customWidth="1"/>
    <col min="11" max="11" width="8.8515625" style="103" customWidth="1"/>
    <col min="12" max="12" width="12.57421875" style="103" hidden="1" customWidth="1"/>
    <col min="13" max="13" width="11.7109375" style="103" hidden="1" customWidth="1"/>
    <col min="14" max="15" width="7.00390625" style="103" hidden="1" customWidth="1"/>
    <col min="16" max="16" width="9.140625" style="118" customWidth="1"/>
    <col min="17" max="17" width="14.00390625" style="110" customWidth="1"/>
    <col min="18" max="18" width="16.7109375" style="110" customWidth="1"/>
    <col min="19" max="16384" width="9.140625" style="103" customWidth="1"/>
  </cols>
  <sheetData>
    <row r="1" spans="9:15" ht="68.25" customHeight="1" hidden="1">
      <c r="I1" s="128" t="s">
        <v>216</v>
      </c>
      <c r="J1" s="128"/>
      <c r="K1" s="128"/>
      <c r="L1" s="128"/>
      <c r="M1" s="128"/>
      <c r="N1" s="128"/>
      <c r="O1" s="128"/>
    </row>
    <row r="2" spans="1:15" ht="70.5" customHeight="1" hidden="1">
      <c r="A2" s="29"/>
      <c r="B2" s="67"/>
      <c r="C2" s="67"/>
      <c r="D2" s="27"/>
      <c r="E2" s="102"/>
      <c r="F2" s="67"/>
      <c r="G2" s="67"/>
      <c r="H2" s="67"/>
      <c r="I2" s="134" t="s">
        <v>139</v>
      </c>
      <c r="J2" s="134"/>
      <c r="K2" s="134"/>
      <c r="L2" s="134"/>
      <c r="M2" s="134"/>
      <c r="N2" s="134"/>
      <c r="O2" s="134"/>
    </row>
    <row r="3" spans="1:15" ht="53.25" customHeight="1" hidden="1">
      <c r="A3" s="142" t="s">
        <v>84</v>
      </c>
      <c r="B3" s="142"/>
      <c r="C3" s="142"/>
      <c r="D3" s="142"/>
      <c r="E3" s="142"/>
      <c r="F3" s="142"/>
      <c r="G3" s="142"/>
      <c r="H3" s="142"/>
      <c r="I3" s="68"/>
      <c r="J3" s="68"/>
      <c r="K3" s="68"/>
      <c r="L3" s="69"/>
      <c r="M3" s="69"/>
      <c r="N3" s="69"/>
      <c r="O3" s="69"/>
    </row>
    <row r="4" spans="1:18" ht="16.5" customHeight="1">
      <c r="A4" s="147" t="s">
        <v>0</v>
      </c>
      <c r="B4" s="148"/>
      <c r="C4" s="147" t="s">
        <v>1</v>
      </c>
      <c r="D4" s="114" t="s">
        <v>2</v>
      </c>
      <c r="E4" s="135" t="s">
        <v>3</v>
      </c>
      <c r="F4" s="137" t="s">
        <v>4</v>
      </c>
      <c r="G4" s="138"/>
      <c r="H4" s="138"/>
      <c r="I4" s="138"/>
      <c r="J4" s="138"/>
      <c r="K4" s="138"/>
      <c r="L4" s="96"/>
      <c r="M4" s="97"/>
      <c r="N4" s="155" t="s">
        <v>19</v>
      </c>
      <c r="O4" s="140" t="s">
        <v>5</v>
      </c>
      <c r="P4" s="125" t="s">
        <v>209</v>
      </c>
      <c r="Q4" s="152" t="s">
        <v>220</v>
      </c>
      <c r="R4" s="153" t="s">
        <v>221</v>
      </c>
    </row>
    <row r="5" spans="1:18" ht="15" customHeight="1">
      <c r="A5" s="143"/>
      <c r="B5" s="148"/>
      <c r="C5" s="143"/>
      <c r="D5" s="143" t="s">
        <v>6</v>
      </c>
      <c r="E5" s="136"/>
      <c r="F5" s="149" t="s">
        <v>7</v>
      </c>
      <c r="G5" s="95"/>
      <c r="H5" s="145" t="s">
        <v>8</v>
      </c>
      <c r="I5" s="146"/>
      <c r="J5" s="146"/>
      <c r="K5" s="146"/>
      <c r="L5" s="46"/>
      <c r="M5" s="45"/>
      <c r="N5" s="143"/>
      <c r="O5" s="141"/>
      <c r="P5" s="126"/>
      <c r="Q5" s="152"/>
      <c r="R5" s="154"/>
    </row>
    <row r="6" spans="1:18" ht="15" customHeight="1">
      <c r="A6" s="143"/>
      <c r="B6" s="148"/>
      <c r="C6" s="143"/>
      <c r="D6" s="143"/>
      <c r="E6" s="136"/>
      <c r="F6" s="150"/>
      <c r="G6" s="95"/>
      <c r="H6" s="151" t="s">
        <v>16</v>
      </c>
      <c r="I6" s="139" t="s">
        <v>17</v>
      </c>
      <c r="J6" s="144" t="s">
        <v>9</v>
      </c>
      <c r="K6" s="144" t="s">
        <v>18</v>
      </c>
      <c r="L6" s="136" t="s">
        <v>8</v>
      </c>
      <c r="M6" s="136"/>
      <c r="N6" s="143"/>
      <c r="O6" s="141"/>
      <c r="P6" s="126"/>
      <c r="Q6" s="152"/>
      <c r="R6" s="154"/>
    </row>
    <row r="7" spans="1:18" ht="153.75" customHeight="1">
      <c r="A7" s="143"/>
      <c r="B7" s="148"/>
      <c r="C7" s="143"/>
      <c r="D7" s="143"/>
      <c r="E7" s="136"/>
      <c r="F7" s="135"/>
      <c r="G7" s="95"/>
      <c r="H7" s="147"/>
      <c r="I7" s="139"/>
      <c r="J7" s="144"/>
      <c r="K7" s="144"/>
      <c r="L7" s="95" t="s">
        <v>10</v>
      </c>
      <c r="M7" s="95" t="s">
        <v>11</v>
      </c>
      <c r="N7" s="143"/>
      <c r="O7" s="141"/>
      <c r="P7" s="127"/>
      <c r="Q7" s="152"/>
      <c r="R7" s="124"/>
    </row>
    <row r="8" spans="1:18" ht="15.75" customHeight="1">
      <c r="A8" s="143"/>
      <c r="B8" s="147"/>
      <c r="C8" s="143"/>
      <c r="D8" s="143"/>
      <c r="E8" s="136"/>
      <c r="F8" s="44"/>
      <c r="G8" s="44"/>
      <c r="H8" s="95"/>
      <c r="I8" s="70" t="s">
        <v>14</v>
      </c>
      <c r="J8" s="70" t="s">
        <v>14</v>
      </c>
      <c r="K8" s="70" t="s">
        <v>14</v>
      </c>
      <c r="L8" s="95"/>
      <c r="M8" s="95"/>
      <c r="N8" s="95" t="s">
        <v>15</v>
      </c>
      <c r="O8" s="3" t="s">
        <v>15</v>
      </c>
      <c r="P8" s="119"/>
      <c r="Q8" s="120"/>
      <c r="R8" s="120"/>
    </row>
    <row r="9" spans="1:18" ht="15">
      <c r="A9" s="95">
        <v>1</v>
      </c>
      <c r="B9" s="3"/>
      <c r="C9" s="3">
        <v>2</v>
      </c>
      <c r="D9" s="3">
        <v>3</v>
      </c>
      <c r="E9" s="3">
        <v>12</v>
      </c>
      <c r="F9" s="3">
        <v>13</v>
      </c>
      <c r="G9" s="3"/>
      <c r="H9" s="3">
        <v>14</v>
      </c>
      <c r="I9" s="71">
        <v>15</v>
      </c>
      <c r="J9" s="71">
        <v>16</v>
      </c>
      <c r="K9" s="71">
        <v>17</v>
      </c>
      <c r="L9" s="3"/>
      <c r="M9" s="3"/>
      <c r="N9" s="3">
        <v>18</v>
      </c>
      <c r="O9" s="3">
        <v>19</v>
      </c>
      <c r="P9" s="119"/>
      <c r="Q9" s="120"/>
      <c r="R9" s="120"/>
    </row>
    <row r="10" spans="1:18" ht="15" hidden="1">
      <c r="A10" s="95"/>
      <c r="B10" s="3"/>
      <c r="C10" s="3"/>
      <c r="D10" s="3"/>
      <c r="E10" s="3"/>
      <c r="F10" s="3"/>
      <c r="G10" s="50"/>
      <c r="H10" s="51">
        <f>H12-H11</f>
        <v>0</v>
      </c>
      <c r="I10" s="72">
        <f>I12-I11</f>
        <v>0</v>
      </c>
      <c r="J10" s="72">
        <f>J12-J11</f>
        <v>0</v>
      </c>
      <c r="K10" s="72">
        <f>K12-K11</f>
        <v>0</v>
      </c>
      <c r="L10" s="3"/>
      <c r="M10" s="3"/>
      <c r="N10" s="3"/>
      <c r="O10" s="3"/>
      <c r="P10" s="119"/>
      <c r="Q10" s="120"/>
      <c r="R10" s="120"/>
    </row>
    <row r="11" spans="1:18" ht="15" hidden="1">
      <c r="A11" s="95"/>
      <c r="B11" s="3"/>
      <c r="C11" s="3"/>
      <c r="D11" s="3"/>
      <c r="E11" s="3"/>
      <c r="F11" s="3"/>
      <c r="G11" s="50"/>
      <c r="H11" s="104">
        <v>92967703.99</v>
      </c>
      <c r="I11" s="105">
        <v>30692455</v>
      </c>
      <c r="J11" s="105">
        <v>85000000</v>
      </c>
      <c r="K11" s="106">
        <v>23184463</v>
      </c>
      <c r="L11" s="3"/>
      <c r="M11" s="3"/>
      <c r="N11" s="3"/>
      <c r="O11" s="3"/>
      <c r="P11" s="119"/>
      <c r="Q11" s="120"/>
      <c r="R11" s="120"/>
    </row>
    <row r="12" spans="1:18" ht="15" hidden="1">
      <c r="A12" s="95"/>
      <c r="B12" s="3"/>
      <c r="C12" s="3"/>
      <c r="D12" s="3"/>
      <c r="E12" s="3"/>
      <c r="F12" s="3"/>
      <c r="G12" s="50"/>
      <c r="H12" s="51">
        <f>H79</f>
        <v>92967703.99</v>
      </c>
      <c r="I12" s="72">
        <f>I79</f>
        <v>30692455</v>
      </c>
      <c r="J12" s="72">
        <f>J79</f>
        <v>85000000</v>
      </c>
      <c r="K12" s="72">
        <f>K79</f>
        <v>23184463</v>
      </c>
      <c r="L12" s="3"/>
      <c r="M12" s="3"/>
      <c r="N12" s="3"/>
      <c r="O12" s="3"/>
      <c r="P12" s="119"/>
      <c r="Q12" s="120"/>
      <c r="R12" s="120"/>
    </row>
    <row r="13" spans="1:18" ht="15">
      <c r="A13" s="95"/>
      <c r="B13" s="3"/>
      <c r="C13" s="3"/>
      <c r="D13" s="3"/>
      <c r="E13" s="3"/>
      <c r="F13" s="3"/>
      <c r="G13" s="50"/>
      <c r="H13" s="51"/>
      <c r="I13" s="72"/>
      <c r="J13" s="72"/>
      <c r="K13" s="72"/>
      <c r="L13" s="3"/>
      <c r="M13" s="3"/>
      <c r="N13" s="3"/>
      <c r="O13" s="3"/>
      <c r="P13" s="119"/>
      <c r="Q13" s="120"/>
      <c r="R13" s="120"/>
    </row>
    <row r="14" spans="1:18" s="107" customFormat="1" ht="64.5" customHeight="1">
      <c r="A14" s="26">
        <v>1</v>
      </c>
      <c r="B14" s="1" t="s">
        <v>36</v>
      </c>
      <c r="C14" s="8" t="s">
        <v>99</v>
      </c>
      <c r="D14" s="26">
        <v>1982</v>
      </c>
      <c r="E14" s="22" t="s">
        <v>159</v>
      </c>
      <c r="F14" s="7">
        <v>6112673</v>
      </c>
      <c r="G14" s="73">
        <f>F14-H14-I14-J14-K14</f>
        <v>0</v>
      </c>
      <c r="H14" s="74">
        <v>2451129</v>
      </c>
      <c r="I14" s="7">
        <v>809218</v>
      </c>
      <c r="J14" s="7">
        <v>2241058</v>
      </c>
      <c r="K14" s="7">
        <v>611268</v>
      </c>
      <c r="L14" s="5" t="e">
        <f>K14*(#REF!+#REF!)/#REF!</f>
        <v>#REF!</v>
      </c>
      <c r="M14" s="5" t="e">
        <f>K14*(#REF!+#REF!)/#REF!</f>
        <v>#REF!</v>
      </c>
      <c r="N14" s="7" t="e">
        <f>F14/#REF!</f>
        <v>#REF!</v>
      </c>
      <c r="O14" s="4">
        <v>10084</v>
      </c>
      <c r="P14" s="121" t="s">
        <v>217</v>
      </c>
      <c r="Q14" s="117" t="s">
        <v>225</v>
      </c>
      <c r="R14" s="116" t="s">
        <v>226</v>
      </c>
    </row>
    <row r="15" spans="1:18" s="107" customFormat="1" ht="56.25" customHeight="1">
      <c r="A15" s="26">
        <f>A14+1</f>
        <v>2</v>
      </c>
      <c r="B15" s="1" t="s">
        <v>63</v>
      </c>
      <c r="C15" s="8" t="s">
        <v>64</v>
      </c>
      <c r="D15" s="26">
        <v>1980</v>
      </c>
      <c r="E15" s="22" t="s">
        <v>155</v>
      </c>
      <c r="F15" s="7">
        <v>2969365</v>
      </c>
      <c r="G15" s="73">
        <f aca="true" t="shared" si="0" ref="G15:G79">F15-H15-I15-J15-K15</f>
        <v>0</v>
      </c>
      <c r="H15" s="74">
        <v>1190690</v>
      </c>
      <c r="I15" s="7">
        <v>393096</v>
      </c>
      <c r="J15" s="7">
        <v>1088643</v>
      </c>
      <c r="K15" s="7">
        <v>296936</v>
      </c>
      <c r="L15" s="5" t="e">
        <f>K15*(#REF!+#REF!)/#REF!</f>
        <v>#REF!</v>
      </c>
      <c r="M15" s="5" t="e">
        <f>K15*(#REF!+#REF!)/#REF!</f>
        <v>#REF!</v>
      </c>
      <c r="N15" s="7" t="e">
        <f>F15/#REF!</f>
        <v>#REF!</v>
      </c>
      <c r="O15" s="4">
        <v>10084</v>
      </c>
      <c r="P15" s="121" t="s">
        <v>217</v>
      </c>
      <c r="Q15" s="117" t="s">
        <v>228</v>
      </c>
      <c r="R15" s="116" t="s">
        <v>229</v>
      </c>
    </row>
    <row r="16" spans="1:18" s="107" customFormat="1" ht="87.75" customHeight="1">
      <c r="A16" s="26">
        <f aca="true" t="shared" si="1" ref="A16:A78">A15+1</f>
        <v>3</v>
      </c>
      <c r="B16" s="1"/>
      <c r="C16" s="8" t="s">
        <v>65</v>
      </c>
      <c r="D16" s="26">
        <v>1963</v>
      </c>
      <c r="E16" s="22" t="s">
        <v>207</v>
      </c>
      <c r="F16" s="7">
        <v>1640656</v>
      </c>
      <c r="G16" s="73">
        <f t="shared" si="0"/>
        <v>0</v>
      </c>
      <c r="H16" s="74">
        <v>657889</v>
      </c>
      <c r="I16" s="7">
        <v>217196</v>
      </c>
      <c r="J16" s="7">
        <v>601505</v>
      </c>
      <c r="K16" s="7">
        <v>164066</v>
      </c>
      <c r="L16" s="5" t="e">
        <f>K16*(#REF!+#REF!)/#REF!</f>
        <v>#REF!</v>
      </c>
      <c r="M16" s="5" t="e">
        <f>K16*(#REF!+#REF!)/#REF!</f>
        <v>#REF!</v>
      </c>
      <c r="N16" s="7" t="e">
        <f>F16/#REF!</f>
        <v>#REF!</v>
      </c>
      <c r="O16" s="4">
        <v>10084</v>
      </c>
      <c r="P16" s="121" t="s">
        <v>217</v>
      </c>
      <c r="Q16" s="117" t="s">
        <v>228</v>
      </c>
      <c r="R16" s="116" t="s">
        <v>229</v>
      </c>
    </row>
    <row r="17" spans="1:18" s="107" customFormat="1" ht="105.75" customHeight="1">
      <c r="A17" s="26">
        <f t="shared" si="1"/>
        <v>4</v>
      </c>
      <c r="B17" s="1"/>
      <c r="C17" s="8" t="s">
        <v>122</v>
      </c>
      <c r="D17" s="26">
        <v>1971</v>
      </c>
      <c r="E17" s="22" t="s">
        <v>156</v>
      </c>
      <c r="F17" s="7">
        <v>1677117</v>
      </c>
      <c r="G17" s="73">
        <f t="shared" si="0"/>
        <v>0</v>
      </c>
      <c r="H17" s="74">
        <v>672510</v>
      </c>
      <c r="I17" s="7">
        <v>222023</v>
      </c>
      <c r="J17" s="7">
        <v>614873</v>
      </c>
      <c r="K17" s="7">
        <v>167711</v>
      </c>
      <c r="L17" s="5" t="e">
        <f>K17*(#REF!+#REF!)/#REF!</f>
        <v>#REF!</v>
      </c>
      <c r="M17" s="5" t="e">
        <f>K17*(#REF!+#REF!)/#REF!</f>
        <v>#REF!</v>
      </c>
      <c r="N17" s="7" t="e">
        <f>F17/#REF!</f>
        <v>#REF!</v>
      </c>
      <c r="O17" s="4">
        <v>10084</v>
      </c>
      <c r="P17" s="121" t="s">
        <v>217</v>
      </c>
      <c r="Q17" s="117" t="s">
        <v>228</v>
      </c>
      <c r="R17" s="116" t="s">
        <v>229</v>
      </c>
    </row>
    <row r="18" spans="1:18" s="107" customFormat="1" ht="69.75" customHeight="1">
      <c r="A18" s="26">
        <f t="shared" si="1"/>
        <v>5</v>
      </c>
      <c r="B18" s="1"/>
      <c r="C18" s="8" t="s">
        <v>123</v>
      </c>
      <c r="D18" s="26">
        <v>1980</v>
      </c>
      <c r="E18" s="22" t="s">
        <v>157</v>
      </c>
      <c r="F18" s="7">
        <f>2314897</f>
        <v>2314897</v>
      </c>
      <c r="G18" s="73">
        <f t="shared" si="0"/>
        <v>0</v>
      </c>
      <c r="H18" s="74">
        <v>928254</v>
      </c>
      <c r="I18" s="7">
        <v>306455</v>
      </c>
      <c r="J18" s="7">
        <v>848699</v>
      </c>
      <c r="K18" s="7">
        <v>231489</v>
      </c>
      <c r="L18" s="5" t="e">
        <f>K18*(#REF!+#REF!)/#REF!</f>
        <v>#REF!</v>
      </c>
      <c r="M18" s="5" t="e">
        <f>K18*(#REF!+#REF!)/#REF!</f>
        <v>#REF!</v>
      </c>
      <c r="N18" s="7" t="e">
        <f>F18/#REF!</f>
        <v>#REF!</v>
      </c>
      <c r="O18" s="4">
        <v>10084</v>
      </c>
      <c r="P18" s="121" t="s">
        <v>217</v>
      </c>
      <c r="Q18" s="117" t="s">
        <v>228</v>
      </c>
      <c r="R18" s="116" t="s">
        <v>229</v>
      </c>
    </row>
    <row r="19" spans="1:18" s="107" customFormat="1" ht="77.25" customHeight="1">
      <c r="A19" s="26">
        <f t="shared" si="1"/>
        <v>6</v>
      </c>
      <c r="B19" s="1"/>
      <c r="C19" s="8" t="s">
        <v>133</v>
      </c>
      <c r="D19" s="26">
        <v>1982</v>
      </c>
      <c r="E19" s="22" t="s">
        <v>158</v>
      </c>
      <c r="F19" s="7">
        <v>2007986</v>
      </c>
      <c r="G19" s="73">
        <f t="shared" si="0"/>
        <v>0</v>
      </c>
      <c r="H19" s="74">
        <v>805185</v>
      </c>
      <c r="I19" s="7">
        <v>265825</v>
      </c>
      <c r="J19" s="7">
        <v>736178</v>
      </c>
      <c r="K19" s="7">
        <v>200798</v>
      </c>
      <c r="L19" s="5" t="e">
        <f>K19*(#REF!+#REF!)/#REF!</f>
        <v>#REF!</v>
      </c>
      <c r="M19" s="5" t="e">
        <f>K19*(#REF!+#REF!)/#REF!</f>
        <v>#REF!</v>
      </c>
      <c r="N19" s="7" t="e">
        <f>F19/#REF!</f>
        <v>#REF!</v>
      </c>
      <c r="O19" s="4">
        <v>10084</v>
      </c>
      <c r="P19" s="121" t="s">
        <v>217</v>
      </c>
      <c r="Q19" s="117" t="s">
        <v>228</v>
      </c>
      <c r="R19" s="116" t="s">
        <v>229</v>
      </c>
    </row>
    <row r="20" spans="1:18" s="107" customFormat="1" ht="56.25" customHeight="1">
      <c r="A20" s="26">
        <f t="shared" si="1"/>
        <v>7</v>
      </c>
      <c r="B20" s="1" t="s">
        <v>42</v>
      </c>
      <c r="C20" s="9" t="s">
        <v>109</v>
      </c>
      <c r="D20" s="52">
        <v>1976</v>
      </c>
      <c r="E20" s="93" t="s">
        <v>86</v>
      </c>
      <c r="F20" s="7">
        <f>3206057+129134</f>
        <v>3335191</v>
      </c>
      <c r="G20" s="73">
        <f t="shared" si="0"/>
        <v>0</v>
      </c>
      <c r="H20" s="74">
        <v>1337383</v>
      </c>
      <c r="I20" s="7">
        <v>441525</v>
      </c>
      <c r="J20" s="7">
        <v>1222764</v>
      </c>
      <c r="K20" s="7">
        <v>333519</v>
      </c>
      <c r="L20" s="5" t="e">
        <f>K20*(#REF!+#REF!)/#REF!</f>
        <v>#REF!</v>
      </c>
      <c r="M20" s="5" t="e">
        <f>K20*(#REF!+#REF!)/#REF!</f>
        <v>#REF!</v>
      </c>
      <c r="N20" s="7" t="e">
        <f>F20/#REF!</f>
        <v>#REF!</v>
      </c>
      <c r="O20" s="4">
        <v>10084</v>
      </c>
      <c r="P20" s="121" t="s">
        <v>217</v>
      </c>
      <c r="Q20" s="117" t="s">
        <v>225</v>
      </c>
      <c r="R20" s="116" t="s">
        <v>231</v>
      </c>
    </row>
    <row r="21" spans="1:18" s="107" customFormat="1" ht="30" customHeight="1">
      <c r="A21" s="26">
        <f t="shared" si="1"/>
        <v>8</v>
      </c>
      <c r="B21" s="1"/>
      <c r="C21" s="9" t="s">
        <v>110</v>
      </c>
      <c r="D21" s="52">
        <v>1972</v>
      </c>
      <c r="E21" s="93" t="s">
        <v>77</v>
      </c>
      <c r="F21" s="7">
        <f>2476923+23077+129134</f>
        <v>2629134</v>
      </c>
      <c r="G21" s="73">
        <f t="shared" si="0"/>
        <v>0</v>
      </c>
      <c r="H21" s="74">
        <v>1054260</v>
      </c>
      <c r="I21" s="7">
        <v>348055</v>
      </c>
      <c r="J21" s="7">
        <v>963906</v>
      </c>
      <c r="K21" s="7">
        <v>262913</v>
      </c>
      <c r="L21" s="5" t="e">
        <f>K21*(#REF!+#REF!)/#REF!</f>
        <v>#REF!</v>
      </c>
      <c r="M21" s="5" t="e">
        <f>K21*(#REF!+#REF!)/#REF!</f>
        <v>#REF!</v>
      </c>
      <c r="N21" s="7" t="e">
        <f>F21/#REF!</f>
        <v>#REF!</v>
      </c>
      <c r="O21" s="4">
        <v>10084</v>
      </c>
      <c r="P21" s="121" t="s">
        <v>217</v>
      </c>
      <c r="Q21" s="117" t="s">
        <v>225</v>
      </c>
      <c r="R21" s="116" t="s">
        <v>231</v>
      </c>
    </row>
    <row r="22" spans="1:18" s="107" customFormat="1" ht="56.25" customHeight="1">
      <c r="A22" s="26">
        <f t="shared" si="1"/>
        <v>9</v>
      </c>
      <c r="B22" s="1"/>
      <c r="C22" s="9" t="s">
        <v>111</v>
      </c>
      <c r="D22" s="52">
        <v>1976</v>
      </c>
      <c r="E22" s="93" t="s">
        <v>87</v>
      </c>
      <c r="F22" s="7">
        <f>3989256+193701</f>
        <v>4182957</v>
      </c>
      <c r="G22" s="73">
        <f t="shared" si="0"/>
        <v>0</v>
      </c>
      <c r="H22" s="74">
        <v>1677330</v>
      </c>
      <c r="I22" s="7">
        <v>553755</v>
      </c>
      <c r="J22" s="7">
        <v>1533576</v>
      </c>
      <c r="K22" s="7">
        <v>418296</v>
      </c>
      <c r="L22" s="5" t="e">
        <f>K22*(#REF!+#REF!)/#REF!</f>
        <v>#REF!</v>
      </c>
      <c r="M22" s="5" t="e">
        <f>K22*(#REF!+#REF!)/#REF!</f>
        <v>#REF!</v>
      </c>
      <c r="N22" s="7" t="e">
        <f>F22/#REF!</f>
        <v>#REF!</v>
      </c>
      <c r="O22" s="4">
        <v>10084</v>
      </c>
      <c r="P22" s="121" t="s">
        <v>217</v>
      </c>
      <c r="Q22" s="117" t="s">
        <v>225</v>
      </c>
      <c r="R22" s="116" t="s">
        <v>231</v>
      </c>
    </row>
    <row r="23" spans="1:18" s="107" customFormat="1" ht="56.25" customHeight="1">
      <c r="A23" s="26">
        <f t="shared" si="1"/>
        <v>10</v>
      </c>
      <c r="B23" s="1"/>
      <c r="C23" s="9" t="s">
        <v>45</v>
      </c>
      <c r="D23" s="52">
        <v>1977</v>
      </c>
      <c r="E23" s="93" t="s">
        <v>164</v>
      </c>
      <c r="F23" s="7">
        <f>3125923+129134</f>
        <v>3255057</v>
      </c>
      <c r="G23" s="73">
        <f t="shared" si="0"/>
        <v>0</v>
      </c>
      <c r="H23" s="74">
        <v>1305250</v>
      </c>
      <c r="I23" s="7">
        <v>430917</v>
      </c>
      <c r="J23" s="7">
        <v>1193384</v>
      </c>
      <c r="K23" s="7">
        <v>325506</v>
      </c>
      <c r="L23" s="5" t="e">
        <f>K23*(#REF!+#REF!)/#REF!</f>
        <v>#REF!</v>
      </c>
      <c r="M23" s="5" t="e">
        <f>K23*(#REF!+#REF!)/#REF!</f>
        <v>#REF!</v>
      </c>
      <c r="N23" s="7" t="e">
        <f>F23/#REF!</f>
        <v>#REF!</v>
      </c>
      <c r="O23" s="4">
        <v>10084</v>
      </c>
      <c r="P23" s="121" t="s">
        <v>217</v>
      </c>
      <c r="Q23" s="117" t="s">
        <v>225</v>
      </c>
      <c r="R23" s="116" t="s">
        <v>231</v>
      </c>
    </row>
    <row r="24" spans="1:18" s="107" customFormat="1" ht="56.25" customHeight="1">
      <c r="A24" s="26">
        <f t="shared" si="1"/>
        <v>11</v>
      </c>
      <c r="B24" s="1"/>
      <c r="C24" s="9" t="s">
        <v>112</v>
      </c>
      <c r="D24" s="52">
        <v>1978</v>
      </c>
      <c r="E24" s="93" t="s">
        <v>165</v>
      </c>
      <c r="F24" s="7">
        <f>3125923+129134</f>
        <v>3255057</v>
      </c>
      <c r="G24" s="73">
        <f t="shared" si="0"/>
        <v>0</v>
      </c>
      <c r="H24" s="74">
        <v>1305250</v>
      </c>
      <c r="I24" s="7">
        <v>430917</v>
      </c>
      <c r="J24" s="7">
        <v>1193384</v>
      </c>
      <c r="K24" s="7">
        <v>325506</v>
      </c>
      <c r="L24" s="5" t="e">
        <f>K24*(#REF!+#REF!)/#REF!</f>
        <v>#REF!</v>
      </c>
      <c r="M24" s="5" t="e">
        <f>K24*(#REF!+#REF!)/#REF!</f>
        <v>#REF!</v>
      </c>
      <c r="N24" s="7" t="e">
        <f>F24/#REF!</f>
        <v>#REF!</v>
      </c>
      <c r="O24" s="4">
        <v>10084</v>
      </c>
      <c r="P24" s="121" t="s">
        <v>217</v>
      </c>
      <c r="Q24" s="117" t="s">
        <v>225</v>
      </c>
      <c r="R24" s="116" t="s">
        <v>231</v>
      </c>
    </row>
    <row r="25" spans="1:18" s="107" customFormat="1" ht="56.25" customHeight="1">
      <c r="A25" s="26">
        <f t="shared" si="1"/>
        <v>12</v>
      </c>
      <c r="B25" s="1"/>
      <c r="C25" s="8" t="s">
        <v>129</v>
      </c>
      <c r="D25" s="54">
        <v>1976</v>
      </c>
      <c r="E25" s="22" t="s">
        <v>166</v>
      </c>
      <c r="F25" s="7">
        <v>3908476</v>
      </c>
      <c r="G25" s="73">
        <f t="shared" si="0"/>
        <v>0</v>
      </c>
      <c r="H25" s="74">
        <v>1567265</v>
      </c>
      <c r="I25" s="7">
        <v>517419</v>
      </c>
      <c r="J25" s="7">
        <v>1432944</v>
      </c>
      <c r="K25" s="7">
        <v>390848</v>
      </c>
      <c r="L25" s="5" t="e">
        <f>K25*(#REF!+#REF!)/#REF!</f>
        <v>#REF!</v>
      </c>
      <c r="M25" s="5" t="e">
        <f>K25*(#REF!+#REF!)/#REF!</f>
        <v>#REF!</v>
      </c>
      <c r="N25" s="7" t="e">
        <f>F25/#REF!</f>
        <v>#REF!</v>
      </c>
      <c r="O25" s="4">
        <v>10084</v>
      </c>
      <c r="P25" s="121" t="s">
        <v>217</v>
      </c>
      <c r="Q25" s="117" t="s">
        <v>225</v>
      </c>
      <c r="R25" s="116" t="s">
        <v>231</v>
      </c>
    </row>
    <row r="26" spans="1:18" s="107" customFormat="1" ht="56.25" customHeight="1">
      <c r="A26" s="26">
        <f t="shared" si="1"/>
        <v>13</v>
      </c>
      <c r="B26" s="1" t="s">
        <v>130</v>
      </c>
      <c r="C26" s="8" t="s">
        <v>121</v>
      </c>
      <c r="D26" s="25">
        <v>1976</v>
      </c>
      <c r="E26" s="22" t="s">
        <v>167</v>
      </c>
      <c r="F26" s="7">
        <v>2584520</v>
      </c>
      <c r="G26" s="73">
        <f t="shared" si="0"/>
        <v>0</v>
      </c>
      <c r="H26" s="74">
        <v>1036370</v>
      </c>
      <c r="I26" s="7">
        <v>342148</v>
      </c>
      <c r="J26" s="7">
        <v>947550</v>
      </c>
      <c r="K26" s="7">
        <v>258452</v>
      </c>
      <c r="L26" s="5" t="e">
        <f>K26*(#REF!+#REF!)/#REF!</f>
        <v>#REF!</v>
      </c>
      <c r="M26" s="5" t="e">
        <f>K26*(#REF!+#REF!)/#REF!</f>
        <v>#REF!</v>
      </c>
      <c r="N26" s="7" t="e">
        <f>F26/#REF!</f>
        <v>#REF!</v>
      </c>
      <c r="O26" s="4">
        <v>10084</v>
      </c>
      <c r="P26" s="121" t="s">
        <v>217</v>
      </c>
      <c r="Q26" s="117" t="s">
        <v>225</v>
      </c>
      <c r="R26" s="116" t="s">
        <v>231</v>
      </c>
    </row>
    <row r="27" spans="1:18" s="107" customFormat="1" ht="91.5" customHeight="1">
      <c r="A27" s="26">
        <f t="shared" si="1"/>
        <v>14</v>
      </c>
      <c r="B27" s="1" t="s">
        <v>56</v>
      </c>
      <c r="C27" s="10" t="s">
        <v>57</v>
      </c>
      <c r="D27" s="25">
        <v>1960</v>
      </c>
      <c r="E27" s="22" t="s">
        <v>168</v>
      </c>
      <c r="F27" s="7">
        <v>2023156</v>
      </c>
      <c r="G27" s="73">
        <f t="shared" si="0"/>
        <v>0</v>
      </c>
      <c r="H27" s="74">
        <v>811268</v>
      </c>
      <c r="I27" s="7">
        <v>267833</v>
      </c>
      <c r="J27" s="7">
        <v>741739</v>
      </c>
      <c r="K27" s="7">
        <v>202316</v>
      </c>
      <c r="L27" s="5" t="e">
        <f>K27*(#REF!+#REF!)/#REF!</f>
        <v>#REF!</v>
      </c>
      <c r="M27" s="5" t="e">
        <f>K27*(#REF!+#REF!)/#REF!</f>
        <v>#REF!</v>
      </c>
      <c r="N27" s="7" t="e">
        <f>F27/#REF!</f>
        <v>#REF!</v>
      </c>
      <c r="O27" s="4">
        <v>10084</v>
      </c>
      <c r="P27" s="121" t="s">
        <v>217</v>
      </c>
      <c r="Q27" s="117" t="s">
        <v>233</v>
      </c>
      <c r="R27" s="116" t="s">
        <v>243</v>
      </c>
    </row>
    <row r="28" spans="1:18" s="107" customFormat="1" ht="88.5" customHeight="1">
      <c r="A28" s="26">
        <f t="shared" si="1"/>
        <v>15</v>
      </c>
      <c r="B28" s="1"/>
      <c r="C28" s="10" t="s">
        <v>124</v>
      </c>
      <c r="D28" s="25">
        <v>1965</v>
      </c>
      <c r="E28" s="22" t="s">
        <v>169</v>
      </c>
      <c r="F28" s="7">
        <v>3064150</v>
      </c>
      <c r="G28" s="73">
        <f t="shared" si="0"/>
        <v>0</v>
      </c>
      <c r="H28" s="74">
        <v>1228698</v>
      </c>
      <c r="I28" s="7">
        <v>405643</v>
      </c>
      <c r="J28" s="7">
        <v>1123394</v>
      </c>
      <c r="K28" s="7">
        <v>306415</v>
      </c>
      <c r="L28" s="5" t="e">
        <f>K28*(#REF!+#REF!)/#REF!</f>
        <v>#REF!</v>
      </c>
      <c r="M28" s="5" t="e">
        <f>K28*(#REF!+#REF!)/#REF!</f>
        <v>#REF!</v>
      </c>
      <c r="N28" s="7" t="e">
        <f>F28/#REF!</f>
        <v>#REF!</v>
      </c>
      <c r="O28" s="4">
        <v>10084</v>
      </c>
      <c r="P28" s="121" t="s">
        <v>217</v>
      </c>
      <c r="Q28" s="117" t="s">
        <v>233</v>
      </c>
      <c r="R28" s="116" t="s">
        <v>243</v>
      </c>
    </row>
    <row r="29" spans="1:18" s="107" customFormat="1" ht="74.25" customHeight="1">
      <c r="A29" s="26">
        <f t="shared" si="1"/>
        <v>16</v>
      </c>
      <c r="B29" s="1"/>
      <c r="C29" s="10" t="s">
        <v>58</v>
      </c>
      <c r="D29" s="25">
        <v>1968</v>
      </c>
      <c r="E29" s="22" t="s">
        <v>170</v>
      </c>
      <c r="F29" s="7">
        <v>2479392</v>
      </c>
      <c r="G29" s="73">
        <f t="shared" si="0"/>
        <v>0</v>
      </c>
      <c r="H29" s="74">
        <v>994215</v>
      </c>
      <c r="I29" s="7">
        <v>328231</v>
      </c>
      <c r="J29" s="7">
        <v>909007</v>
      </c>
      <c r="K29" s="7">
        <v>247939</v>
      </c>
      <c r="L29" s="5" t="e">
        <f>K29*(#REF!+#REF!)/#REF!</f>
        <v>#REF!</v>
      </c>
      <c r="M29" s="5" t="e">
        <f>K29*(#REF!+#REF!)/#REF!</f>
        <v>#REF!</v>
      </c>
      <c r="N29" s="7" t="e">
        <f>F29/#REF!</f>
        <v>#REF!</v>
      </c>
      <c r="O29" s="4">
        <v>10084</v>
      </c>
      <c r="P29" s="121" t="s">
        <v>217</v>
      </c>
      <c r="Q29" s="117" t="s">
        <v>233</v>
      </c>
      <c r="R29" s="116" t="s">
        <v>243</v>
      </c>
    </row>
    <row r="30" spans="1:18" s="107" customFormat="1" ht="96" customHeight="1">
      <c r="A30" s="26">
        <f t="shared" si="1"/>
        <v>17</v>
      </c>
      <c r="B30" s="1" t="s">
        <v>43</v>
      </c>
      <c r="C30" s="11" t="s">
        <v>100</v>
      </c>
      <c r="D30" s="56">
        <v>1974</v>
      </c>
      <c r="E30" s="22" t="s">
        <v>219</v>
      </c>
      <c r="F30" s="7">
        <f>1524143+64567</f>
        <v>1588710</v>
      </c>
      <c r="G30" s="73">
        <f t="shared" si="0"/>
        <v>0</v>
      </c>
      <c r="H30" s="74">
        <v>637059</v>
      </c>
      <c r="I30" s="7">
        <v>210319</v>
      </c>
      <c r="J30" s="7">
        <v>582461</v>
      </c>
      <c r="K30" s="7">
        <v>158871</v>
      </c>
      <c r="L30" s="5" t="e">
        <f>K30*(#REF!+#REF!)/#REF!</f>
        <v>#REF!</v>
      </c>
      <c r="M30" s="5" t="e">
        <f>K30*(#REF!+#REF!)/#REF!</f>
        <v>#REF!</v>
      </c>
      <c r="N30" s="7" t="e">
        <f>F30/#REF!</f>
        <v>#REF!</v>
      </c>
      <c r="O30" s="4">
        <v>10084</v>
      </c>
      <c r="P30" s="121" t="s">
        <v>217</v>
      </c>
      <c r="Q30" s="117" t="s">
        <v>233</v>
      </c>
      <c r="R30" s="116" t="s">
        <v>241</v>
      </c>
    </row>
    <row r="31" spans="1:18" s="107" customFormat="1" ht="106.5" customHeight="1">
      <c r="A31" s="26">
        <f t="shared" si="1"/>
        <v>18</v>
      </c>
      <c r="B31" s="1" t="s">
        <v>34</v>
      </c>
      <c r="C31" s="8" t="s">
        <v>154</v>
      </c>
      <c r="D31" s="26">
        <v>1985</v>
      </c>
      <c r="E31" s="22" t="s">
        <v>206</v>
      </c>
      <c r="F31" s="7">
        <v>5341823</v>
      </c>
      <c r="G31" s="73">
        <f t="shared" si="0"/>
        <v>0</v>
      </c>
      <c r="H31" s="74">
        <v>2142025</v>
      </c>
      <c r="I31" s="7">
        <v>707171</v>
      </c>
      <c r="J31" s="7">
        <v>1958445</v>
      </c>
      <c r="K31" s="7">
        <v>534182</v>
      </c>
      <c r="L31" s="5" t="e">
        <f>K31*(#REF!+#REF!)/#REF!</f>
        <v>#REF!</v>
      </c>
      <c r="M31" s="5" t="e">
        <f>K31*(#REF!+#REF!)/#REF!</f>
        <v>#REF!</v>
      </c>
      <c r="N31" s="7" t="e">
        <f>F31/#REF!</f>
        <v>#REF!</v>
      </c>
      <c r="O31" s="4">
        <v>10084</v>
      </c>
      <c r="P31" s="121" t="s">
        <v>217</v>
      </c>
      <c r="Q31" s="115" t="s">
        <v>222</v>
      </c>
      <c r="R31" s="116" t="s">
        <v>223</v>
      </c>
    </row>
    <row r="32" spans="1:18" s="107" customFormat="1" ht="54" customHeight="1">
      <c r="A32" s="26">
        <f t="shared" si="1"/>
        <v>19</v>
      </c>
      <c r="B32" s="1" t="s">
        <v>35</v>
      </c>
      <c r="C32" s="8" t="s">
        <v>101</v>
      </c>
      <c r="D32" s="26">
        <v>1985</v>
      </c>
      <c r="E32" s="22" t="s">
        <v>172</v>
      </c>
      <c r="F32" s="7">
        <v>3550000</v>
      </c>
      <c r="G32" s="73">
        <f t="shared" si="0"/>
        <v>0</v>
      </c>
      <c r="H32" s="74">
        <v>1423520</v>
      </c>
      <c r="I32" s="7">
        <v>469962</v>
      </c>
      <c r="J32" s="7">
        <v>1301518</v>
      </c>
      <c r="K32" s="7">
        <v>355000</v>
      </c>
      <c r="L32" s="5" t="e">
        <f>K32*(#REF!+#REF!)/#REF!</f>
        <v>#REF!</v>
      </c>
      <c r="M32" s="5" t="e">
        <f>K32*(#REF!+#REF!)/#REF!</f>
        <v>#REF!</v>
      </c>
      <c r="N32" s="7" t="e">
        <f>F32/#REF!</f>
        <v>#REF!</v>
      </c>
      <c r="O32" s="4">
        <v>10084</v>
      </c>
      <c r="P32" s="121" t="s">
        <v>217</v>
      </c>
      <c r="Q32" s="115" t="s">
        <v>222</v>
      </c>
      <c r="R32" s="116" t="s">
        <v>224</v>
      </c>
    </row>
    <row r="33" spans="1:18" s="107" customFormat="1" ht="40.5" customHeight="1">
      <c r="A33" s="26">
        <f t="shared" si="1"/>
        <v>20</v>
      </c>
      <c r="B33" s="1" t="s">
        <v>37</v>
      </c>
      <c r="C33" s="8" t="s">
        <v>38</v>
      </c>
      <c r="D33" s="26">
        <v>1969</v>
      </c>
      <c r="E33" s="22" t="s">
        <v>175</v>
      </c>
      <c r="F33" s="7">
        <v>3386166</v>
      </c>
      <c r="G33" s="73">
        <f t="shared" si="0"/>
        <v>0</v>
      </c>
      <c r="H33" s="74">
        <v>1357824</v>
      </c>
      <c r="I33" s="7">
        <v>448273</v>
      </c>
      <c r="J33" s="7">
        <v>1241452</v>
      </c>
      <c r="K33" s="7">
        <v>338617</v>
      </c>
      <c r="L33" s="5" t="e">
        <f>K33*(#REF!+#REF!)/#REF!</f>
        <v>#REF!</v>
      </c>
      <c r="M33" s="5" t="e">
        <f>K33*(#REF!+#REF!)/#REF!</f>
        <v>#REF!</v>
      </c>
      <c r="N33" s="7" t="e">
        <f>F33/#REF!</f>
        <v>#REF!</v>
      </c>
      <c r="O33" s="4">
        <v>10084</v>
      </c>
      <c r="P33" s="121" t="s">
        <v>217</v>
      </c>
      <c r="Q33" s="117" t="s">
        <v>233</v>
      </c>
      <c r="R33" s="116" t="s">
        <v>241</v>
      </c>
    </row>
    <row r="34" spans="1:18" s="107" customFormat="1" ht="51" customHeight="1">
      <c r="A34" s="26">
        <f t="shared" si="1"/>
        <v>21</v>
      </c>
      <c r="B34" s="1"/>
      <c r="C34" s="8" t="s">
        <v>39</v>
      </c>
      <c r="D34" s="26">
        <v>1973</v>
      </c>
      <c r="E34" s="22" t="s">
        <v>176</v>
      </c>
      <c r="F34" s="7">
        <v>3435050</v>
      </c>
      <c r="G34" s="73">
        <f t="shared" si="0"/>
        <v>0</v>
      </c>
      <c r="H34" s="74">
        <v>1377425</v>
      </c>
      <c r="I34" s="7">
        <v>454745</v>
      </c>
      <c r="J34" s="7">
        <v>1259375</v>
      </c>
      <c r="K34" s="7">
        <v>343505</v>
      </c>
      <c r="L34" s="5" t="e">
        <f>K34*(#REF!+#REF!)/#REF!</f>
        <v>#REF!</v>
      </c>
      <c r="M34" s="5" t="e">
        <f>K34*(#REF!+#REF!)/#REF!</f>
        <v>#REF!</v>
      </c>
      <c r="N34" s="7" t="e">
        <f>F34/#REF!</f>
        <v>#REF!</v>
      </c>
      <c r="O34" s="4">
        <v>10084</v>
      </c>
      <c r="P34" s="121" t="s">
        <v>217</v>
      </c>
      <c r="Q34" s="117" t="s">
        <v>233</v>
      </c>
      <c r="R34" s="116" t="s">
        <v>241</v>
      </c>
    </row>
    <row r="35" spans="1:18" s="107" customFormat="1" ht="66" customHeight="1">
      <c r="A35" s="26">
        <f t="shared" si="1"/>
        <v>22</v>
      </c>
      <c r="B35" s="1"/>
      <c r="C35" s="8" t="s">
        <v>125</v>
      </c>
      <c r="D35" s="26">
        <v>1968</v>
      </c>
      <c r="E35" s="22" t="s">
        <v>174</v>
      </c>
      <c r="F35" s="7">
        <f>56667+2905000</f>
        <v>2961667</v>
      </c>
      <c r="G35" s="73">
        <f t="shared" si="0"/>
        <v>0</v>
      </c>
      <c r="H35" s="74">
        <v>1187603</v>
      </c>
      <c r="I35" s="7">
        <v>392076</v>
      </c>
      <c r="J35" s="7">
        <v>1085821</v>
      </c>
      <c r="K35" s="7">
        <v>296167</v>
      </c>
      <c r="L35" s="5" t="e">
        <f>K35*(#REF!+#REF!)/#REF!</f>
        <v>#REF!</v>
      </c>
      <c r="M35" s="5" t="e">
        <f>K35*(#REF!+#REF!)/#REF!</f>
        <v>#REF!</v>
      </c>
      <c r="N35" s="7" t="e">
        <f>F35/#REF!</f>
        <v>#REF!</v>
      </c>
      <c r="O35" s="4">
        <v>10084</v>
      </c>
      <c r="P35" s="121" t="s">
        <v>217</v>
      </c>
      <c r="Q35" s="117" t="s">
        <v>233</v>
      </c>
      <c r="R35" s="116" t="s">
        <v>241</v>
      </c>
    </row>
    <row r="36" spans="1:18" s="107" customFormat="1" ht="56.25" customHeight="1">
      <c r="A36" s="26">
        <f t="shared" si="1"/>
        <v>23</v>
      </c>
      <c r="B36" s="1"/>
      <c r="C36" s="8" t="s">
        <v>119</v>
      </c>
      <c r="D36" s="26">
        <v>1965</v>
      </c>
      <c r="E36" s="22" t="s">
        <v>136</v>
      </c>
      <c r="F36" s="7">
        <f>56666+2950000</f>
        <v>3006666</v>
      </c>
      <c r="G36" s="73">
        <f t="shared" si="0"/>
        <v>0</v>
      </c>
      <c r="H36" s="74">
        <v>1205647</v>
      </c>
      <c r="I36" s="7">
        <v>398034</v>
      </c>
      <c r="J36" s="7">
        <v>1102318</v>
      </c>
      <c r="K36" s="7">
        <v>300667</v>
      </c>
      <c r="L36" s="5" t="e">
        <f>K36*(#REF!+#REF!)/#REF!</f>
        <v>#REF!</v>
      </c>
      <c r="M36" s="5" t="e">
        <f>K36*(#REF!+#REF!)/#REF!</f>
        <v>#REF!</v>
      </c>
      <c r="N36" s="7" t="e">
        <f>F36/#REF!</f>
        <v>#REF!</v>
      </c>
      <c r="O36" s="4">
        <v>10084</v>
      </c>
      <c r="P36" s="121" t="s">
        <v>217</v>
      </c>
      <c r="Q36" s="117" t="s">
        <v>233</v>
      </c>
      <c r="R36" s="116" t="s">
        <v>241</v>
      </c>
    </row>
    <row r="37" spans="1:18" s="107" customFormat="1" ht="65.25" customHeight="1">
      <c r="A37" s="26">
        <f t="shared" si="1"/>
        <v>24</v>
      </c>
      <c r="B37" s="1"/>
      <c r="C37" s="8" t="s">
        <v>120</v>
      </c>
      <c r="D37" s="26">
        <v>1969</v>
      </c>
      <c r="E37" s="22" t="s">
        <v>173</v>
      </c>
      <c r="F37" s="7">
        <f>56667+2975000</f>
        <v>3031667</v>
      </c>
      <c r="G37" s="73">
        <f t="shared" si="0"/>
        <v>0</v>
      </c>
      <c r="H37" s="74">
        <v>1215673</v>
      </c>
      <c r="I37" s="7">
        <v>401343</v>
      </c>
      <c r="J37" s="7">
        <v>1111484</v>
      </c>
      <c r="K37" s="7">
        <v>303167</v>
      </c>
      <c r="L37" s="5" t="e">
        <f>K37*(#REF!+#REF!)/#REF!</f>
        <v>#REF!</v>
      </c>
      <c r="M37" s="5" t="e">
        <f>K37*(#REF!+#REF!)/#REF!</f>
        <v>#REF!</v>
      </c>
      <c r="N37" s="7" t="e">
        <f>F37/#REF!</f>
        <v>#REF!</v>
      </c>
      <c r="O37" s="4">
        <v>10084</v>
      </c>
      <c r="P37" s="121" t="s">
        <v>217</v>
      </c>
      <c r="Q37" s="117" t="s">
        <v>233</v>
      </c>
      <c r="R37" s="116" t="s">
        <v>241</v>
      </c>
    </row>
    <row r="38" spans="1:18" s="107" customFormat="1" ht="83.25" customHeight="1">
      <c r="A38" s="26">
        <f t="shared" si="1"/>
        <v>25</v>
      </c>
      <c r="B38" s="1" t="s">
        <v>114</v>
      </c>
      <c r="C38" s="10" t="s">
        <v>66</v>
      </c>
      <c r="D38" s="25">
        <v>1975</v>
      </c>
      <c r="E38" s="98" t="s">
        <v>180</v>
      </c>
      <c r="F38" s="7">
        <v>2376923</v>
      </c>
      <c r="G38" s="73">
        <f t="shared" si="0"/>
        <v>0</v>
      </c>
      <c r="H38" s="74">
        <v>953126</v>
      </c>
      <c r="I38" s="7">
        <v>314666</v>
      </c>
      <c r="J38" s="7">
        <v>871439</v>
      </c>
      <c r="K38" s="7">
        <v>237692</v>
      </c>
      <c r="L38" s="5" t="e">
        <f>K38*(#REF!+#REF!)/#REF!</f>
        <v>#REF!</v>
      </c>
      <c r="M38" s="5" t="e">
        <f>K38*(#REF!+#REF!)/#REF!</f>
        <v>#REF!</v>
      </c>
      <c r="N38" s="7" t="e">
        <f>F38/#REF!</f>
        <v>#REF!</v>
      </c>
      <c r="O38" s="4">
        <v>10084</v>
      </c>
      <c r="P38" s="121" t="s">
        <v>217</v>
      </c>
      <c r="Q38" s="117" t="s">
        <v>233</v>
      </c>
      <c r="R38" s="116" t="s">
        <v>240</v>
      </c>
    </row>
    <row r="39" spans="1:18" s="107" customFormat="1" ht="56.25" customHeight="1">
      <c r="A39" s="26">
        <f t="shared" si="1"/>
        <v>26</v>
      </c>
      <c r="B39" s="1" t="s">
        <v>126</v>
      </c>
      <c r="C39" s="10" t="s">
        <v>67</v>
      </c>
      <c r="D39" s="25">
        <v>1970</v>
      </c>
      <c r="E39" s="98" t="s">
        <v>181</v>
      </c>
      <c r="F39" s="7">
        <v>800000</v>
      </c>
      <c r="G39" s="73">
        <f t="shared" si="0"/>
        <v>0</v>
      </c>
      <c r="H39" s="74">
        <v>320793</v>
      </c>
      <c r="I39" s="7">
        <v>105907</v>
      </c>
      <c r="J39" s="7">
        <v>293300</v>
      </c>
      <c r="K39" s="7">
        <v>80000</v>
      </c>
      <c r="L39" s="5" t="e">
        <f>K39*(#REF!+#REF!)/#REF!</f>
        <v>#REF!</v>
      </c>
      <c r="M39" s="5" t="e">
        <f>K39*(#REF!+#REF!)/#REF!</f>
        <v>#REF!</v>
      </c>
      <c r="N39" s="7" t="e">
        <f>F39/#REF!</f>
        <v>#REF!</v>
      </c>
      <c r="O39" s="4">
        <v>10084</v>
      </c>
      <c r="P39" s="121" t="s">
        <v>217</v>
      </c>
      <c r="Q39" s="117" t="s">
        <v>233</v>
      </c>
      <c r="R39" s="116" t="s">
        <v>240</v>
      </c>
    </row>
    <row r="40" spans="1:18" s="107" customFormat="1" ht="76.5" customHeight="1">
      <c r="A40" s="26">
        <f t="shared" si="1"/>
        <v>27</v>
      </c>
      <c r="B40" s="1"/>
      <c r="C40" s="10" t="s">
        <v>68</v>
      </c>
      <c r="D40" s="25">
        <v>1977</v>
      </c>
      <c r="E40" s="98" t="s">
        <v>179</v>
      </c>
      <c r="F40" s="7">
        <v>7266923</v>
      </c>
      <c r="G40" s="73">
        <f t="shared" si="0"/>
        <v>0</v>
      </c>
      <c r="H40" s="74">
        <v>2913974</v>
      </c>
      <c r="I40" s="7">
        <v>962022</v>
      </c>
      <c r="J40" s="7">
        <v>2664235</v>
      </c>
      <c r="K40" s="7">
        <v>726692</v>
      </c>
      <c r="L40" s="5" t="e">
        <f>K40*(#REF!+#REF!)/#REF!</f>
        <v>#REF!</v>
      </c>
      <c r="M40" s="5" t="e">
        <f>K40*(#REF!+#REF!)/#REF!</f>
        <v>#REF!</v>
      </c>
      <c r="N40" s="7" t="e">
        <f>F40/#REF!</f>
        <v>#REF!</v>
      </c>
      <c r="O40" s="4">
        <v>10084</v>
      </c>
      <c r="P40" s="121" t="s">
        <v>217</v>
      </c>
      <c r="Q40" s="117" t="s">
        <v>233</v>
      </c>
      <c r="R40" s="116" t="s">
        <v>240</v>
      </c>
    </row>
    <row r="41" spans="1:18" s="107" customFormat="1" ht="63" customHeight="1">
      <c r="A41" s="26">
        <f t="shared" si="1"/>
        <v>28</v>
      </c>
      <c r="B41" s="1" t="s">
        <v>43</v>
      </c>
      <c r="C41" s="12" t="s">
        <v>107</v>
      </c>
      <c r="D41" s="52">
        <v>1975</v>
      </c>
      <c r="E41" s="101" t="s">
        <v>160</v>
      </c>
      <c r="F41" s="7">
        <f>4402023+64567</f>
        <v>4466590</v>
      </c>
      <c r="G41" s="73">
        <f t="shared" si="0"/>
        <v>0</v>
      </c>
      <c r="H41" s="74">
        <v>1791064</v>
      </c>
      <c r="I41" s="7">
        <v>591304</v>
      </c>
      <c r="J41" s="7">
        <v>1637563</v>
      </c>
      <c r="K41" s="7">
        <v>446659</v>
      </c>
      <c r="L41" s="5" t="e">
        <f>K41*(#REF!+#REF!)/#REF!</f>
        <v>#REF!</v>
      </c>
      <c r="M41" s="5" t="e">
        <f>K41*(#REF!+#REF!)/#REF!</f>
        <v>#REF!</v>
      </c>
      <c r="N41" s="7" t="e">
        <f>F41/#REF!</f>
        <v>#REF!</v>
      </c>
      <c r="O41" s="4">
        <v>10084</v>
      </c>
      <c r="P41" s="121" t="s">
        <v>217</v>
      </c>
      <c r="Q41" s="117" t="s">
        <v>233</v>
      </c>
      <c r="R41" s="116" t="s">
        <v>241</v>
      </c>
    </row>
    <row r="42" spans="1:18" s="107" customFormat="1" ht="90.75" customHeight="1">
      <c r="A42" s="26">
        <f t="shared" si="1"/>
        <v>29</v>
      </c>
      <c r="B42" s="1"/>
      <c r="C42" s="12" t="s">
        <v>108</v>
      </c>
      <c r="D42" s="52">
        <v>1974</v>
      </c>
      <c r="E42" s="99" t="s">
        <v>162</v>
      </c>
      <c r="F42" s="7">
        <v>1625023</v>
      </c>
      <c r="G42" s="73">
        <f t="shared" si="0"/>
        <v>0</v>
      </c>
      <c r="H42" s="74">
        <v>651620</v>
      </c>
      <c r="I42" s="7">
        <v>215127</v>
      </c>
      <c r="J42" s="7">
        <v>595774</v>
      </c>
      <c r="K42" s="7">
        <v>162502</v>
      </c>
      <c r="L42" s="5" t="e">
        <f>K42*(#REF!+#REF!)/#REF!</f>
        <v>#REF!</v>
      </c>
      <c r="M42" s="5" t="e">
        <f>K42*(#REF!+#REF!)/#REF!</f>
        <v>#REF!</v>
      </c>
      <c r="N42" s="7" t="e">
        <f>F42/#REF!</f>
        <v>#REF!</v>
      </c>
      <c r="O42" s="4">
        <v>10084</v>
      </c>
      <c r="P42" s="121" t="s">
        <v>217</v>
      </c>
      <c r="Q42" s="117" t="s">
        <v>233</v>
      </c>
      <c r="R42" s="116" t="s">
        <v>241</v>
      </c>
    </row>
    <row r="43" spans="1:18" s="107" customFormat="1" ht="64.5" customHeight="1">
      <c r="A43" s="26">
        <f t="shared" si="1"/>
        <v>30</v>
      </c>
      <c r="B43" s="1"/>
      <c r="C43" s="12" t="s">
        <v>102</v>
      </c>
      <c r="D43" s="52">
        <v>1936</v>
      </c>
      <c r="E43" s="100" t="s">
        <v>161</v>
      </c>
      <c r="F43" s="7">
        <v>3222393</v>
      </c>
      <c r="G43" s="73">
        <f t="shared" si="0"/>
        <v>0</v>
      </c>
      <c r="H43" s="74">
        <v>1292152</v>
      </c>
      <c r="I43" s="7">
        <v>426593</v>
      </c>
      <c r="J43" s="7">
        <v>1181409</v>
      </c>
      <c r="K43" s="7">
        <v>322239</v>
      </c>
      <c r="L43" s="5" t="e">
        <f>K43*(#REF!+#REF!)/#REF!</f>
        <v>#REF!</v>
      </c>
      <c r="M43" s="5" t="e">
        <f>K43*(#REF!+#REF!)/#REF!</f>
        <v>#REF!</v>
      </c>
      <c r="N43" s="7" t="e">
        <f>F43/#REF!</f>
        <v>#REF!</v>
      </c>
      <c r="O43" s="4">
        <v>10084</v>
      </c>
      <c r="P43" s="121" t="s">
        <v>217</v>
      </c>
      <c r="Q43" s="117" t="s">
        <v>233</v>
      </c>
      <c r="R43" s="116" t="s">
        <v>241</v>
      </c>
    </row>
    <row r="44" spans="1:18" s="107" customFormat="1" ht="89.25" customHeight="1">
      <c r="A44" s="26">
        <f t="shared" si="1"/>
        <v>31</v>
      </c>
      <c r="B44" s="1"/>
      <c r="C44" s="9" t="s">
        <v>134</v>
      </c>
      <c r="D44" s="52">
        <v>1967</v>
      </c>
      <c r="E44" s="100" t="s">
        <v>163</v>
      </c>
      <c r="F44" s="7">
        <v>1211923</v>
      </c>
      <c r="G44" s="73">
        <f t="shared" si="0"/>
        <v>0</v>
      </c>
      <c r="H44" s="74">
        <v>485971</v>
      </c>
      <c r="I44" s="7">
        <v>160439</v>
      </c>
      <c r="J44" s="7">
        <v>444321</v>
      </c>
      <c r="K44" s="7">
        <v>121192</v>
      </c>
      <c r="L44" s="5" t="e">
        <f>K44*(#REF!+#REF!)/#REF!</f>
        <v>#REF!</v>
      </c>
      <c r="M44" s="5" t="e">
        <f>K44*(#REF!+#REF!)/#REF!</f>
        <v>#REF!</v>
      </c>
      <c r="N44" s="7" t="e">
        <f>F44/#REF!</f>
        <v>#REF!</v>
      </c>
      <c r="O44" s="4">
        <v>10084</v>
      </c>
      <c r="P44" s="121" t="s">
        <v>217</v>
      </c>
      <c r="Q44" s="117" t="s">
        <v>233</v>
      </c>
      <c r="R44" s="116" t="s">
        <v>241</v>
      </c>
    </row>
    <row r="45" spans="1:18" s="107" customFormat="1" ht="72.75" customHeight="1">
      <c r="A45" s="26">
        <f t="shared" si="1"/>
        <v>32</v>
      </c>
      <c r="B45" s="1" t="s">
        <v>55</v>
      </c>
      <c r="C45" s="8" t="s">
        <v>103</v>
      </c>
      <c r="D45" s="26">
        <v>1979</v>
      </c>
      <c r="E45" s="22" t="s">
        <v>177</v>
      </c>
      <c r="F45" s="7">
        <v>6908343</v>
      </c>
      <c r="G45" s="73">
        <f t="shared" si="0"/>
        <v>0</v>
      </c>
      <c r="H45" s="74">
        <v>2770186</v>
      </c>
      <c r="I45" s="7">
        <v>914552</v>
      </c>
      <c r="J45" s="7">
        <v>2532770</v>
      </c>
      <c r="K45" s="7">
        <v>690835</v>
      </c>
      <c r="L45" s="5" t="e">
        <f>K45*(#REF!+#REF!)/#REF!</f>
        <v>#REF!</v>
      </c>
      <c r="M45" s="5" t="e">
        <f>K45*(#REF!+#REF!)/#REF!</f>
        <v>#REF!</v>
      </c>
      <c r="N45" s="7" t="e">
        <f>F45/#REF!</f>
        <v>#REF!</v>
      </c>
      <c r="O45" s="4">
        <v>10084</v>
      </c>
      <c r="P45" s="121" t="s">
        <v>217</v>
      </c>
      <c r="Q45" s="117" t="s">
        <v>233</v>
      </c>
      <c r="R45" s="116" t="s">
        <v>241</v>
      </c>
    </row>
    <row r="46" spans="1:18" s="107" customFormat="1" ht="56.25" customHeight="1">
      <c r="A46" s="26">
        <f t="shared" si="1"/>
        <v>33</v>
      </c>
      <c r="B46" s="1"/>
      <c r="C46" s="8" t="s">
        <v>44</v>
      </c>
      <c r="D46" s="26">
        <v>1976</v>
      </c>
      <c r="E46" s="22" t="s">
        <v>178</v>
      </c>
      <c r="F46" s="7">
        <f>8358523+387402</f>
        <v>8745925</v>
      </c>
      <c r="G46" s="73">
        <f t="shared" si="0"/>
        <v>0</v>
      </c>
      <c r="H46" s="74">
        <v>3507041</v>
      </c>
      <c r="I46" s="7">
        <v>1157818</v>
      </c>
      <c r="J46" s="7">
        <v>3206473</v>
      </c>
      <c r="K46" s="7">
        <v>874593</v>
      </c>
      <c r="L46" s="5" t="e">
        <f>K46*(#REF!+#REF!)/#REF!</f>
        <v>#REF!</v>
      </c>
      <c r="M46" s="5" t="e">
        <f>K46*(#REF!+#REF!)/#REF!</f>
        <v>#REF!</v>
      </c>
      <c r="N46" s="7" t="e">
        <f>F46/#REF!</f>
        <v>#REF!</v>
      </c>
      <c r="O46" s="4">
        <v>10084</v>
      </c>
      <c r="P46" s="121" t="s">
        <v>217</v>
      </c>
      <c r="Q46" s="117" t="s">
        <v>233</v>
      </c>
      <c r="R46" s="116" t="s">
        <v>241</v>
      </c>
    </row>
    <row r="47" spans="1:18" s="107" customFormat="1" ht="56.25" customHeight="1">
      <c r="A47" s="26">
        <f t="shared" si="1"/>
        <v>34</v>
      </c>
      <c r="B47" s="1"/>
      <c r="C47" s="10" t="s">
        <v>137</v>
      </c>
      <c r="D47" s="25">
        <v>1978</v>
      </c>
      <c r="E47" s="24" t="s">
        <v>135</v>
      </c>
      <c r="F47" s="7">
        <v>3309165</v>
      </c>
      <c r="G47" s="73">
        <f t="shared" si="0"/>
        <v>0</v>
      </c>
      <c r="H47" s="74">
        <v>1326947</v>
      </c>
      <c r="I47" s="7">
        <v>438080</v>
      </c>
      <c r="J47" s="7">
        <v>1213222</v>
      </c>
      <c r="K47" s="7">
        <v>330916</v>
      </c>
      <c r="L47" s="5" t="e">
        <f>K47*(#REF!+#REF!)/#REF!</f>
        <v>#REF!</v>
      </c>
      <c r="M47" s="5" t="e">
        <f>K47*(#REF!+#REF!)/#REF!</f>
        <v>#REF!</v>
      </c>
      <c r="N47" s="7" t="e">
        <f>F47/#REF!</f>
        <v>#REF!</v>
      </c>
      <c r="O47" s="4">
        <v>10084</v>
      </c>
      <c r="P47" s="121" t="s">
        <v>217</v>
      </c>
      <c r="Q47" s="117" t="s">
        <v>233</v>
      </c>
      <c r="R47" s="116" t="s">
        <v>241</v>
      </c>
    </row>
    <row r="48" spans="1:18" s="107" customFormat="1" ht="95.25" customHeight="1">
      <c r="A48" s="26">
        <f t="shared" si="1"/>
        <v>35</v>
      </c>
      <c r="B48" s="1" t="s">
        <v>71</v>
      </c>
      <c r="C48" s="9" t="s">
        <v>89</v>
      </c>
      <c r="D48" s="52">
        <v>1958</v>
      </c>
      <c r="E48" s="93" t="s">
        <v>184</v>
      </c>
      <c r="F48" s="7">
        <v>2176810</v>
      </c>
      <c r="G48" s="73">
        <f t="shared" si="0"/>
        <v>0</v>
      </c>
      <c r="H48" s="74">
        <v>872882</v>
      </c>
      <c r="I48" s="7">
        <v>288174</v>
      </c>
      <c r="J48" s="7">
        <v>798073</v>
      </c>
      <c r="K48" s="7">
        <v>217681</v>
      </c>
      <c r="L48" s="5" t="e">
        <f>K48*(#REF!+#REF!)/#REF!</f>
        <v>#REF!</v>
      </c>
      <c r="M48" s="5" t="e">
        <f>K48*(#REF!+#REF!)/#REF!</f>
        <v>#REF!</v>
      </c>
      <c r="N48" s="7" t="e">
        <f>F48/#REF!</f>
        <v>#REF!</v>
      </c>
      <c r="O48" s="4">
        <v>10084</v>
      </c>
      <c r="P48" s="121" t="s">
        <v>217</v>
      </c>
      <c r="Q48" s="117" t="s">
        <v>233</v>
      </c>
      <c r="R48" s="116" t="s">
        <v>234</v>
      </c>
    </row>
    <row r="49" spans="1:18" s="107" customFormat="1" ht="127.5" customHeight="1">
      <c r="A49" s="26">
        <f t="shared" si="1"/>
        <v>36</v>
      </c>
      <c r="B49" s="1"/>
      <c r="C49" s="9" t="s">
        <v>88</v>
      </c>
      <c r="D49" s="52">
        <v>1966</v>
      </c>
      <c r="E49" s="93" t="s">
        <v>183</v>
      </c>
      <c r="F49" s="7">
        <v>4258030</v>
      </c>
      <c r="G49" s="73">
        <f t="shared" si="0"/>
        <v>0</v>
      </c>
      <c r="H49" s="74">
        <v>1707433</v>
      </c>
      <c r="I49" s="7">
        <v>563694</v>
      </c>
      <c r="J49" s="7">
        <v>1561100</v>
      </c>
      <c r="K49" s="7">
        <v>425803</v>
      </c>
      <c r="L49" s="5" t="e">
        <f>K49*(#REF!+#REF!)/#REF!</f>
        <v>#REF!</v>
      </c>
      <c r="M49" s="5" t="e">
        <f>K49*(#REF!+#REF!)/#REF!</f>
        <v>#REF!</v>
      </c>
      <c r="N49" s="7" t="e">
        <f>F49/#REF!</f>
        <v>#REF!</v>
      </c>
      <c r="O49" s="4">
        <v>10084</v>
      </c>
      <c r="P49" s="121" t="s">
        <v>213</v>
      </c>
      <c r="Q49" s="117" t="s">
        <v>233</v>
      </c>
      <c r="R49" s="116" t="s">
        <v>234</v>
      </c>
    </row>
    <row r="50" spans="1:18" s="107" customFormat="1" ht="84.75" customHeight="1">
      <c r="A50" s="26">
        <f t="shared" si="1"/>
        <v>37</v>
      </c>
      <c r="B50" s="1"/>
      <c r="C50" s="9" t="s">
        <v>72</v>
      </c>
      <c r="D50" s="52">
        <v>1973</v>
      </c>
      <c r="E50" s="93" t="s">
        <v>182</v>
      </c>
      <c r="F50" s="7">
        <f>2974823</f>
        <v>2974823</v>
      </c>
      <c r="G50" s="73">
        <f t="shared" si="0"/>
        <v>0</v>
      </c>
      <c r="H50" s="74">
        <v>1192879</v>
      </c>
      <c r="I50" s="7">
        <v>393818</v>
      </c>
      <c r="J50" s="7">
        <v>1090644</v>
      </c>
      <c r="K50" s="7">
        <v>297482</v>
      </c>
      <c r="L50" s="5" t="e">
        <f>K50*(#REF!+#REF!)/#REF!</f>
        <v>#REF!</v>
      </c>
      <c r="M50" s="5" t="e">
        <f>K50*(#REF!+#REF!)/#REF!</f>
        <v>#REF!</v>
      </c>
      <c r="N50" s="7" t="e">
        <f>F50/#REF!</f>
        <v>#REF!</v>
      </c>
      <c r="O50" s="4">
        <v>10084</v>
      </c>
      <c r="P50" s="121" t="s">
        <v>213</v>
      </c>
      <c r="Q50" s="117" t="s">
        <v>233</v>
      </c>
      <c r="R50" s="116" t="s">
        <v>234</v>
      </c>
    </row>
    <row r="51" spans="1:18" s="107" customFormat="1" ht="56.25" customHeight="1">
      <c r="A51" s="26">
        <f t="shared" si="1"/>
        <v>38</v>
      </c>
      <c r="B51" s="1" t="s">
        <v>85</v>
      </c>
      <c r="C51" s="9" t="s">
        <v>104</v>
      </c>
      <c r="D51" s="52">
        <v>1970</v>
      </c>
      <c r="E51" s="93" t="s">
        <v>185</v>
      </c>
      <c r="F51" s="7">
        <v>5325833</v>
      </c>
      <c r="G51" s="73">
        <f t="shared" si="0"/>
        <v>0</v>
      </c>
      <c r="H51" s="74">
        <v>2135613</v>
      </c>
      <c r="I51" s="7">
        <v>705054</v>
      </c>
      <c r="J51" s="7">
        <v>1952583</v>
      </c>
      <c r="K51" s="7">
        <v>532583</v>
      </c>
      <c r="L51" s="5" t="e">
        <f>K51*(#REF!+#REF!)/#REF!</f>
        <v>#REF!</v>
      </c>
      <c r="M51" s="5" t="e">
        <f>K51*(#REF!+#REF!)/#REF!</f>
        <v>#REF!</v>
      </c>
      <c r="N51" s="7" t="e">
        <f>F51/#REF!</f>
        <v>#REF!</v>
      </c>
      <c r="O51" s="4">
        <v>10084</v>
      </c>
      <c r="P51" s="121" t="s">
        <v>213</v>
      </c>
      <c r="Q51" s="117" t="s">
        <v>233</v>
      </c>
      <c r="R51" s="116" t="s">
        <v>234</v>
      </c>
    </row>
    <row r="52" spans="1:18" s="107" customFormat="1" ht="63" customHeight="1">
      <c r="A52" s="26">
        <f t="shared" si="1"/>
        <v>39</v>
      </c>
      <c r="B52" s="1"/>
      <c r="C52" s="9" t="s">
        <v>132</v>
      </c>
      <c r="D52" s="52">
        <v>1966</v>
      </c>
      <c r="E52" s="93" t="s">
        <v>188</v>
      </c>
      <c r="F52" s="7">
        <v>1314457</v>
      </c>
      <c r="G52" s="73">
        <f t="shared" si="0"/>
        <v>0</v>
      </c>
      <c r="H52" s="74">
        <v>527086</v>
      </c>
      <c r="I52" s="7">
        <v>174012</v>
      </c>
      <c r="J52" s="7">
        <v>481913</v>
      </c>
      <c r="K52" s="7">
        <v>131446</v>
      </c>
      <c r="L52" s="5" t="e">
        <f>K52*(#REF!+#REF!)/#REF!</f>
        <v>#REF!</v>
      </c>
      <c r="M52" s="5" t="e">
        <f>K52*(#REF!+#REF!)/#REF!</f>
        <v>#REF!</v>
      </c>
      <c r="N52" s="7" t="e">
        <f>F52/#REF!</f>
        <v>#REF!</v>
      </c>
      <c r="O52" s="4">
        <v>10084</v>
      </c>
      <c r="P52" s="121" t="s">
        <v>213</v>
      </c>
      <c r="Q52" s="117" t="s">
        <v>233</v>
      </c>
      <c r="R52" s="116" t="s">
        <v>234</v>
      </c>
    </row>
    <row r="53" spans="1:18" s="107" customFormat="1" ht="38.25" customHeight="1">
      <c r="A53" s="26">
        <f t="shared" si="1"/>
        <v>40</v>
      </c>
      <c r="B53" s="1" t="s">
        <v>40</v>
      </c>
      <c r="C53" s="13" t="s">
        <v>90</v>
      </c>
      <c r="D53" s="58">
        <v>1970</v>
      </c>
      <c r="E53" s="22" t="s">
        <v>54</v>
      </c>
      <c r="F53" s="7">
        <v>1314567</v>
      </c>
      <c r="G53" s="73">
        <f t="shared" si="0"/>
        <v>0</v>
      </c>
      <c r="H53" s="74">
        <v>527130</v>
      </c>
      <c r="I53" s="7">
        <v>174027</v>
      </c>
      <c r="J53" s="7">
        <v>481953</v>
      </c>
      <c r="K53" s="7">
        <v>131457</v>
      </c>
      <c r="L53" s="5" t="e">
        <f>K53*(#REF!+#REF!)/#REF!</f>
        <v>#REF!</v>
      </c>
      <c r="M53" s="5" t="e">
        <f>K53*(#REF!+#REF!)/#REF!</f>
        <v>#REF!</v>
      </c>
      <c r="N53" s="7" t="e">
        <f>F53/#REF!</f>
        <v>#REF!</v>
      </c>
      <c r="O53" s="4">
        <v>10084</v>
      </c>
      <c r="P53" s="121" t="s">
        <v>213</v>
      </c>
      <c r="Q53" s="117" t="s">
        <v>225</v>
      </c>
      <c r="R53" s="116" t="s">
        <v>232</v>
      </c>
    </row>
    <row r="54" spans="1:18" s="107" customFormat="1" ht="92.25" customHeight="1">
      <c r="A54" s="26">
        <f t="shared" si="1"/>
        <v>41</v>
      </c>
      <c r="B54" s="1"/>
      <c r="C54" s="8" t="s">
        <v>91</v>
      </c>
      <c r="D54" s="26">
        <v>1973</v>
      </c>
      <c r="E54" s="22" t="s">
        <v>186</v>
      </c>
      <c r="F54" s="7">
        <v>5780954</v>
      </c>
      <c r="G54" s="73">
        <f t="shared" si="0"/>
        <v>0</v>
      </c>
      <c r="H54" s="74">
        <v>2318113</v>
      </c>
      <c r="I54" s="7">
        <v>765305</v>
      </c>
      <c r="J54" s="7">
        <v>2119441</v>
      </c>
      <c r="K54" s="7">
        <v>578095</v>
      </c>
      <c r="L54" s="5" t="e">
        <f>K54*(#REF!+#REF!)/#REF!</f>
        <v>#REF!</v>
      </c>
      <c r="M54" s="5" t="e">
        <f>K54*(#REF!+#REF!)/#REF!</f>
        <v>#REF!</v>
      </c>
      <c r="N54" s="7" t="e">
        <f>F54/#REF!</f>
        <v>#REF!</v>
      </c>
      <c r="O54" s="4">
        <v>10084</v>
      </c>
      <c r="P54" s="121" t="s">
        <v>213</v>
      </c>
      <c r="Q54" s="117" t="s">
        <v>225</v>
      </c>
      <c r="R54" s="116" t="s">
        <v>232</v>
      </c>
    </row>
    <row r="55" spans="1:18" s="107" customFormat="1" ht="103.5" customHeight="1">
      <c r="A55" s="26">
        <f t="shared" si="1"/>
        <v>42</v>
      </c>
      <c r="B55" s="1"/>
      <c r="C55" s="8" t="s">
        <v>92</v>
      </c>
      <c r="D55" s="26">
        <v>1979</v>
      </c>
      <c r="E55" s="22" t="s">
        <v>187</v>
      </c>
      <c r="F55" s="7">
        <v>5702513</v>
      </c>
      <c r="G55" s="73">
        <f t="shared" si="0"/>
        <v>0</v>
      </c>
      <c r="H55" s="74">
        <v>2286659</v>
      </c>
      <c r="I55" s="7">
        <v>754920</v>
      </c>
      <c r="J55" s="7">
        <v>2090683</v>
      </c>
      <c r="K55" s="7">
        <v>570251</v>
      </c>
      <c r="L55" s="5" t="e">
        <f>K55*(#REF!+#REF!)/#REF!</f>
        <v>#REF!</v>
      </c>
      <c r="M55" s="5" t="e">
        <f>K55*(#REF!+#REF!)/#REF!</f>
        <v>#REF!</v>
      </c>
      <c r="N55" s="7" t="e">
        <f>F55/#REF!</f>
        <v>#REF!</v>
      </c>
      <c r="O55" s="4">
        <v>10084</v>
      </c>
      <c r="P55" s="121" t="s">
        <v>213</v>
      </c>
      <c r="Q55" s="117" t="s">
        <v>225</v>
      </c>
      <c r="R55" s="116" t="s">
        <v>232</v>
      </c>
    </row>
    <row r="56" spans="1:18" s="107" customFormat="1" ht="68.25" customHeight="1">
      <c r="A56" s="26">
        <f t="shared" si="1"/>
        <v>43</v>
      </c>
      <c r="B56" s="1"/>
      <c r="C56" s="8" t="s">
        <v>93</v>
      </c>
      <c r="D56" s="26">
        <v>1962</v>
      </c>
      <c r="E56" s="22" t="s">
        <v>189</v>
      </c>
      <c r="F56" s="7">
        <v>1362842</v>
      </c>
      <c r="G56" s="73">
        <f t="shared" si="0"/>
        <v>0</v>
      </c>
      <c r="H56" s="74">
        <v>546488</v>
      </c>
      <c r="I56" s="7">
        <v>180418</v>
      </c>
      <c r="J56" s="7">
        <v>499652</v>
      </c>
      <c r="K56" s="7">
        <v>136284</v>
      </c>
      <c r="L56" s="5" t="e">
        <f>K56*(#REF!+#REF!)/#REF!</f>
        <v>#REF!</v>
      </c>
      <c r="M56" s="5" t="e">
        <f>K56*(#REF!+#REF!)/#REF!</f>
        <v>#REF!</v>
      </c>
      <c r="N56" s="7" t="e">
        <f>F56/#REF!</f>
        <v>#REF!</v>
      </c>
      <c r="O56" s="4">
        <v>10084</v>
      </c>
      <c r="P56" s="121" t="s">
        <v>213</v>
      </c>
      <c r="Q56" s="117" t="s">
        <v>225</v>
      </c>
      <c r="R56" s="116" t="s">
        <v>232</v>
      </c>
    </row>
    <row r="57" spans="1:18" s="107" customFormat="1" ht="79.5" customHeight="1">
      <c r="A57" s="26">
        <f t="shared" si="1"/>
        <v>44</v>
      </c>
      <c r="B57" s="1" t="s">
        <v>46</v>
      </c>
      <c r="C57" s="10" t="s">
        <v>218</v>
      </c>
      <c r="D57" s="57">
        <v>1976</v>
      </c>
      <c r="E57" s="22" t="s">
        <v>191</v>
      </c>
      <c r="F57" s="7">
        <v>3952166</v>
      </c>
      <c r="G57" s="73">
        <f t="shared" si="0"/>
        <v>0</v>
      </c>
      <c r="H57" s="74">
        <v>1584785</v>
      </c>
      <c r="I57" s="7">
        <v>523202</v>
      </c>
      <c r="J57" s="7">
        <v>1448962</v>
      </c>
      <c r="K57" s="7">
        <v>395217</v>
      </c>
      <c r="L57" s="5" t="e">
        <f>K57*(#REF!+#REF!)/#REF!</f>
        <v>#REF!</v>
      </c>
      <c r="M57" s="5" t="e">
        <f>K57*(#REF!+#REF!)/#REF!</f>
        <v>#REF!</v>
      </c>
      <c r="N57" s="7" t="e">
        <f>F57/#REF!</f>
        <v>#REF!</v>
      </c>
      <c r="O57" s="4">
        <v>10084</v>
      </c>
      <c r="P57" s="121" t="s">
        <v>213</v>
      </c>
      <c r="Q57" s="117" t="s">
        <v>233</v>
      </c>
      <c r="R57" s="116" t="s">
        <v>242</v>
      </c>
    </row>
    <row r="58" spans="1:18" s="107" customFormat="1" ht="93" customHeight="1">
      <c r="A58" s="26">
        <f t="shared" si="1"/>
        <v>45</v>
      </c>
      <c r="B58" s="1"/>
      <c r="C58" s="8" t="s">
        <v>69</v>
      </c>
      <c r="D58" s="26">
        <v>1981</v>
      </c>
      <c r="E58" s="22" t="s">
        <v>190</v>
      </c>
      <c r="F58" s="7">
        <v>5595103</v>
      </c>
      <c r="G58" s="73">
        <f t="shared" si="0"/>
        <v>0</v>
      </c>
      <c r="H58" s="74">
        <v>2243588</v>
      </c>
      <c r="I58" s="7">
        <v>740701</v>
      </c>
      <c r="J58" s="7">
        <v>2051304</v>
      </c>
      <c r="K58" s="7">
        <v>559510</v>
      </c>
      <c r="L58" s="5" t="e">
        <f>K58*(#REF!+#REF!)/#REF!</f>
        <v>#REF!</v>
      </c>
      <c r="M58" s="5" t="e">
        <f>K58*(#REF!+#REF!)/#REF!</f>
        <v>#REF!</v>
      </c>
      <c r="N58" s="7" t="e">
        <f>F58/#REF!</f>
        <v>#REF!</v>
      </c>
      <c r="O58" s="4">
        <v>10084</v>
      </c>
      <c r="P58" s="121" t="s">
        <v>213</v>
      </c>
      <c r="Q58" s="117" t="s">
        <v>233</v>
      </c>
      <c r="R58" s="116" t="s">
        <v>242</v>
      </c>
    </row>
    <row r="59" spans="1:18" s="107" customFormat="1" ht="68.25" customHeight="1">
      <c r="A59" s="26">
        <f t="shared" si="1"/>
        <v>46</v>
      </c>
      <c r="B59" s="1" t="s">
        <v>70</v>
      </c>
      <c r="C59" s="8" t="s">
        <v>94</v>
      </c>
      <c r="D59" s="54">
        <v>1977</v>
      </c>
      <c r="E59" s="22" t="s">
        <v>192</v>
      </c>
      <c r="F59" s="7">
        <v>3628491</v>
      </c>
      <c r="G59" s="73">
        <f t="shared" si="0"/>
        <v>0</v>
      </c>
      <c r="H59" s="74">
        <v>1454994</v>
      </c>
      <c r="I59" s="7">
        <v>480353</v>
      </c>
      <c r="J59" s="7">
        <v>1330295</v>
      </c>
      <c r="K59" s="7">
        <v>362849</v>
      </c>
      <c r="L59" s="5" t="e">
        <f>K59*(#REF!+#REF!)/#REF!</f>
        <v>#REF!</v>
      </c>
      <c r="M59" s="5" t="e">
        <f>K59*(#REF!+#REF!)/#REF!</f>
        <v>#REF!</v>
      </c>
      <c r="N59" s="7" t="e">
        <f>F59/#REF!</f>
        <v>#REF!</v>
      </c>
      <c r="O59" s="4">
        <v>10084</v>
      </c>
      <c r="P59" s="121" t="s">
        <v>213</v>
      </c>
      <c r="Q59" s="117" t="s">
        <v>225</v>
      </c>
      <c r="R59" s="116" t="s">
        <v>235</v>
      </c>
    </row>
    <row r="60" spans="1:18" s="107" customFormat="1" ht="65.25" customHeight="1">
      <c r="A60" s="26">
        <f t="shared" si="1"/>
        <v>47</v>
      </c>
      <c r="B60" s="1" t="s">
        <v>49</v>
      </c>
      <c r="C60" s="10" t="s">
        <v>48</v>
      </c>
      <c r="D60" s="59">
        <v>1977</v>
      </c>
      <c r="E60" s="22" t="s">
        <v>193</v>
      </c>
      <c r="F60" s="7">
        <f>204987+6165013+322835+1290470</f>
        <v>7983305</v>
      </c>
      <c r="G60" s="73">
        <f t="shared" si="0"/>
        <v>0</v>
      </c>
      <c r="H60" s="74">
        <v>3201236</v>
      </c>
      <c r="I60" s="7">
        <v>1056860</v>
      </c>
      <c r="J60" s="7">
        <v>2926878</v>
      </c>
      <c r="K60" s="7">
        <v>798331</v>
      </c>
      <c r="L60" s="5" t="e">
        <f>K60*(#REF!+#REF!)/#REF!</f>
        <v>#REF!</v>
      </c>
      <c r="M60" s="5" t="e">
        <f>K60*(#REF!+#REF!)/#REF!</f>
        <v>#REF!</v>
      </c>
      <c r="N60" s="7" t="e">
        <f>F60/#REF!</f>
        <v>#REF!</v>
      </c>
      <c r="O60" s="4">
        <v>10084</v>
      </c>
      <c r="P60" s="121" t="s">
        <v>213</v>
      </c>
      <c r="Q60" s="117" t="s">
        <v>225</v>
      </c>
      <c r="R60" s="116" t="s">
        <v>226</v>
      </c>
    </row>
    <row r="61" spans="1:18" s="107" customFormat="1" ht="65.25" customHeight="1">
      <c r="A61" s="26">
        <f t="shared" si="1"/>
        <v>48</v>
      </c>
      <c r="B61" s="1"/>
      <c r="C61" s="8" t="s">
        <v>62</v>
      </c>
      <c r="D61" s="26">
        <v>1974</v>
      </c>
      <c r="E61" s="22" t="s">
        <v>192</v>
      </c>
      <c r="F61" s="7">
        <v>3268553</v>
      </c>
      <c r="G61" s="73">
        <f t="shared" si="0"/>
        <v>0</v>
      </c>
      <c r="H61" s="74">
        <v>1310662</v>
      </c>
      <c r="I61" s="7">
        <v>432703</v>
      </c>
      <c r="J61" s="7">
        <v>1198333</v>
      </c>
      <c r="K61" s="7">
        <v>326855</v>
      </c>
      <c r="L61" s="5" t="e">
        <f>K61*(#REF!+#REF!)/#REF!</f>
        <v>#REF!</v>
      </c>
      <c r="M61" s="5" t="e">
        <f>K61*(#REF!+#REF!)/#REF!</f>
        <v>#REF!</v>
      </c>
      <c r="N61" s="7" t="e">
        <f>F61/#REF!</f>
        <v>#REF!</v>
      </c>
      <c r="O61" s="4">
        <v>10084</v>
      </c>
      <c r="P61" s="121" t="s">
        <v>213</v>
      </c>
      <c r="Q61" s="117" t="s">
        <v>225</v>
      </c>
      <c r="R61" s="116" t="s">
        <v>226</v>
      </c>
    </row>
    <row r="62" spans="1:18" s="107" customFormat="1" ht="63" customHeight="1">
      <c r="A62" s="26">
        <f t="shared" si="1"/>
        <v>49</v>
      </c>
      <c r="B62" s="1"/>
      <c r="C62" s="8" t="s">
        <v>127</v>
      </c>
      <c r="D62" s="26">
        <v>1974</v>
      </c>
      <c r="E62" s="22" t="s">
        <v>194</v>
      </c>
      <c r="F62" s="7">
        <v>3000000</v>
      </c>
      <c r="G62" s="73">
        <f t="shared" si="0"/>
        <v>0</v>
      </c>
      <c r="H62" s="74">
        <v>1202974</v>
      </c>
      <c r="I62" s="7">
        <v>397151</v>
      </c>
      <c r="J62" s="7">
        <v>1099875</v>
      </c>
      <c r="K62" s="7">
        <v>300000</v>
      </c>
      <c r="L62" s="5" t="e">
        <f>K62*(#REF!+#REF!)/#REF!</f>
        <v>#REF!</v>
      </c>
      <c r="M62" s="5" t="e">
        <f>K62*(#REF!+#REF!)/#REF!</f>
        <v>#REF!</v>
      </c>
      <c r="N62" s="7" t="e">
        <f>F62/#REF!</f>
        <v>#REF!</v>
      </c>
      <c r="O62" s="4">
        <v>10084</v>
      </c>
      <c r="P62" s="121" t="s">
        <v>213</v>
      </c>
      <c r="Q62" s="117" t="s">
        <v>225</v>
      </c>
      <c r="R62" s="116" t="s">
        <v>226</v>
      </c>
    </row>
    <row r="63" spans="1:18" s="107" customFormat="1" ht="67.5" customHeight="1">
      <c r="A63" s="26">
        <f t="shared" si="1"/>
        <v>50</v>
      </c>
      <c r="B63" s="1" t="s">
        <v>53</v>
      </c>
      <c r="C63" s="8" t="s">
        <v>47</v>
      </c>
      <c r="D63" s="60">
        <v>1977</v>
      </c>
      <c r="E63" s="22" t="s">
        <v>195</v>
      </c>
      <c r="F63" s="7">
        <f>1883607+100000</f>
        <v>1983607</v>
      </c>
      <c r="G63" s="73">
        <f t="shared" si="0"/>
        <v>0</v>
      </c>
      <c r="H63" s="74">
        <v>795409</v>
      </c>
      <c r="I63" s="7">
        <v>262597</v>
      </c>
      <c r="J63" s="7">
        <v>727240</v>
      </c>
      <c r="K63" s="7">
        <v>198361</v>
      </c>
      <c r="L63" s="5" t="e">
        <f>K63*(#REF!+#REF!)/#REF!</f>
        <v>#REF!</v>
      </c>
      <c r="M63" s="5" t="e">
        <f>K63*(#REF!+#REF!)/#REF!</f>
        <v>#REF!</v>
      </c>
      <c r="N63" s="7" t="e">
        <f>F63/#REF!</f>
        <v>#REF!</v>
      </c>
      <c r="O63" s="4">
        <v>10084</v>
      </c>
      <c r="P63" s="121" t="s">
        <v>213</v>
      </c>
      <c r="Q63" s="117" t="s">
        <v>233</v>
      </c>
      <c r="R63" s="116" t="s">
        <v>241</v>
      </c>
    </row>
    <row r="64" spans="1:18" s="107" customFormat="1" ht="66.75" customHeight="1">
      <c r="A64" s="26">
        <f t="shared" si="1"/>
        <v>51</v>
      </c>
      <c r="B64" s="1"/>
      <c r="C64" s="8" t="s">
        <v>59</v>
      </c>
      <c r="D64" s="26">
        <v>1973</v>
      </c>
      <c r="E64" s="22" t="s">
        <v>196</v>
      </c>
      <c r="F64" s="7">
        <v>3534275</v>
      </c>
      <c r="G64" s="73">
        <f t="shared" si="0"/>
        <v>0</v>
      </c>
      <c r="H64" s="74">
        <v>1417214</v>
      </c>
      <c r="I64" s="7">
        <v>467880</v>
      </c>
      <c r="J64" s="7">
        <v>1295753</v>
      </c>
      <c r="K64" s="7">
        <v>353428</v>
      </c>
      <c r="L64" s="5" t="e">
        <f>K64*(#REF!+#REF!)/#REF!</f>
        <v>#REF!</v>
      </c>
      <c r="M64" s="5" t="e">
        <f>K64*(#REF!+#REF!)/#REF!</f>
        <v>#REF!</v>
      </c>
      <c r="N64" s="7" t="e">
        <f>F64/#REF!</f>
        <v>#REF!</v>
      </c>
      <c r="O64" s="4">
        <v>10084</v>
      </c>
      <c r="P64" s="121" t="s">
        <v>213</v>
      </c>
      <c r="Q64" s="117" t="s">
        <v>233</v>
      </c>
      <c r="R64" s="116" t="s">
        <v>241</v>
      </c>
    </row>
    <row r="65" spans="1:18" s="107" customFormat="1" ht="83.25" customHeight="1">
      <c r="A65" s="26">
        <f t="shared" si="1"/>
        <v>52</v>
      </c>
      <c r="B65" s="1"/>
      <c r="C65" s="8" t="s">
        <v>60</v>
      </c>
      <c r="D65" s="26">
        <v>1973</v>
      </c>
      <c r="E65" s="22" t="s">
        <v>197</v>
      </c>
      <c r="F65" s="7">
        <v>1789171</v>
      </c>
      <c r="G65" s="73">
        <f t="shared" si="0"/>
        <v>0</v>
      </c>
      <c r="H65" s="74">
        <v>717442</v>
      </c>
      <c r="I65" s="7">
        <v>236857</v>
      </c>
      <c r="J65" s="7">
        <v>655955</v>
      </c>
      <c r="K65" s="7">
        <v>178917</v>
      </c>
      <c r="L65" s="5" t="e">
        <f>K65*(#REF!+#REF!)/#REF!</f>
        <v>#REF!</v>
      </c>
      <c r="M65" s="5" t="e">
        <f>K65*(#REF!+#REF!)/#REF!</f>
        <v>#REF!</v>
      </c>
      <c r="N65" s="7" t="e">
        <f>F65/#REF!</f>
        <v>#REF!</v>
      </c>
      <c r="O65" s="4">
        <v>10084</v>
      </c>
      <c r="P65" s="121" t="s">
        <v>213</v>
      </c>
      <c r="Q65" s="117" t="s">
        <v>233</v>
      </c>
      <c r="R65" s="116" t="s">
        <v>241</v>
      </c>
    </row>
    <row r="66" spans="1:18" s="107" customFormat="1" ht="106.5" customHeight="1">
      <c r="A66" s="26">
        <f t="shared" si="1"/>
        <v>53</v>
      </c>
      <c r="B66" s="1" t="s">
        <v>73</v>
      </c>
      <c r="C66" s="8" t="s">
        <v>74</v>
      </c>
      <c r="D66" s="26">
        <v>1973</v>
      </c>
      <c r="E66" s="22" t="s">
        <v>198</v>
      </c>
      <c r="F66" s="7">
        <f>6826923</f>
        <v>6826923</v>
      </c>
      <c r="G66" s="73">
        <f t="shared" si="0"/>
        <v>0</v>
      </c>
      <c r="H66" s="74">
        <v>2737538</v>
      </c>
      <c r="I66" s="7">
        <v>903774</v>
      </c>
      <c r="J66" s="7">
        <v>2502919</v>
      </c>
      <c r="K66" s="7">
        <v>682692</v>
      </c>
      <c r="L66" s="5" t="e">
        <f>K66*(#REF!+#REF!)/#REF!</f>
        <v>#REF!</v>
      </c>
      <c r="M66" s="5" t="e">
        <f>K66*(#REF!+#REF!)/#REF!</f>
        <v>#REF!</v>
      </c>
      <c r="N66" s="7" t="e">
        <f>F66/#REF!</f>
        <v>#REF!</v>
      </c>
      <c r="O66" s="4">
        <v>10084</v>
      </c>
      <c r="P66" s="121" t="s">
        <v>213</v>
      </c>
      <c r="Q66" s="117" t="s">
        <v>245</v>
      </c>
      <c r="R66" s="116" t="s">
        <v>232</v>
      </c>
    </row>
    <row r="67" spans="1:18" s="107" customFormat="1" ht="68.25" customHeight="1">
      <c r="A67" s="26">
        <f t="shared" si="1"/>
        <v>54</v>
      </c>
      <c r="B67" s="1" t="s">
        <v>75</v>
      </c>
      <c r="C67" s="8" t="s">
        <v>105</v>
      </c>
      <c r="D67" s="26">
        <v>1963</v>
      </c>
      <c r="E67" s="22" t="s">
        <v>199</v>
      </c>
      <c r="F67" s="7">
        <v>2248101</v>
      </c>
      <c r="G67" s="73">
        <f t="shared" si="0"/>
        <v>0</v>
      </c>
      <c r="H67" s="74">
        <v>901469</v>
      </c>
      <c r="I67" s="7">
        <v>297612</v>
      </c>
      <c r="J67" s="7">
        <v>824210</v>
      </c>
      <c r="K67" s="7">
        <v>224810</v>
      </c>
      <c r="L67" s="5" t="e">
        <f>K67*(#REF!+#REF!)/#REF!</f>
        <v>#REF!</v>
      </c>
      <c r="M67" s="5" t="e">
        <f>K67*(#REF!+#REF!)/#REF!</f>
        <v>#REF!</v>
      </c>
      <c r="N67" s="7" t="e">
        <f>F67/#REF!</f>
        <v>#REF!</v>
      </c>
      <c r="O67" s="4">
        <v>10084</v>
      </c>
      <c r="P67" s="121" t="s">
        <v>213</v>
      </c>
      <c r="Q67" s="116" t="s">
        <v>250</v>
      </c>
      <c r="R67" s="116" t="s">
        <v>236</v>
      </c>
    </row>
    <row r="68" spans="1:18" s="107" customFormat="1" ht="56.25" customHeight="1">
      <c r="A68" s="26">
        <f t="shared" si="1"/>
        <v>55</v>
      </c>
      <c r="B68" s="1"/>
      <c r="C68" s="8" t="s">
        <v>115</v>
      </c>
      <c r="D68" s="26">
        <v>1959</v>
      </c>
      <c r="E68" s="22" t="s">
        <v>76</v>
      </c>
      <c r="F68" s="7">
        <v>2621006</v>
      </c>
      <c r="G68" s="73">
        <f t="shared" si="0"/>
        <v>0</v>
      </c>
      <c r="H68" s="74">
        <v>1051001</v>
      </c>
      <c r="I68" s="7">
        <v>346979</v>
      </c>
      <c r="J68" s="7">
        <v>960925</v>
      </c>
      <c r="K68" s="7">
        <v>262101</v>
      </c>
      <c r="L68" s="5" t="e">
        <f>K68*(#REF!+#REF!)/#REF!</f>
        <v>#REF!</v>
      </c>
      <c r="M68" s="5" t="e">
        <f>K68*(#REF!+#REF!)/#REF!</f>
        <v>#REF!</v>
      </c>
      <c r="N68" s="7" t="e">
        <f>F68/#REF!</f>
        <v>#REF!</v>
      </c>
      <c r="O68" s="4">
        <v>10084</v>
      </c>
      <c r="P68" s="121" t="s">
        <v>213</v>
      </c>
      <c r="Q68" s="117" t="s">
        <v>249</v>
      </c>
      <c r="R68" s="116" t="s">
        <v>236</v>
      </c>
    </row>
    <row r="69" spans="1:18" s="107" customFormat="1" ht="56.25" customHeight="1">
      <c r="A69" s="26">
        <f t="shared" si="1"/>
        <v>56</v>
      </c>
      <c r="B69" s="1" t="s">
        <v>78</v>
      </c>
      <c r="C69" s="8" t="s">
        <v>79</v>
      </c>
      <c r="D69" s="26">
        <v>1959</v>
      </c>
      <c r="E69" s="22" t="s">
        <v>200</v>
      </c>
      <c r="F69" s="7">
        <v>3067253</v>
      </c>
      <c r="G69" s="73">
        <f t="shared" si="0"/>
        <v>0</v>
      </c>
      <c r="H69" s="74">
        <v>1229942</v>
      </c>
      <c r="I69" s="7">
        <v>406054</v>
      </c>
      <c r="J69" s="7">
        <v>1124531</v>
      </c>
      <c r="K69" s="7">
        <v>306726</v>
      </c>
      <c r="L69" s="5" t="e">
        <f>K69*(#REF!+#REF!)/#REF!</f>
        <v>#REF!</v>
      </c>
      <c r="M69" s="5" t="e">
        <f>K69*(#REF!+#REF!)/#REF!</f>
        <v>#REF!</v>
      </c>
      <c r="N69" s="7" t="e">
        <f>F69/#REF!</f>
        <v>#REF!</v>
      </c>
      <c r="O69" s="4">
        <v>10084</v>
      </c>
      <c r="P69" s="121" t="s">
        <v>213</v>
      </c>
      <c r="Q69" s="117" t="s">
        <v>233</v>
      </c>
      <c r="R69" s="116" t="s">
        <v>236</v>
      </c>
    </row>
    <row r="70" spans="1:18" s="107" customFormat="1" ht="56.25" customHeight="1">
      <c r="A70" s="26">
        <f t="shared" si="1"/>
        <v>57</v>
      </c>
      <c r="B70" s="1"/>
      <c r="C70" s="8" t="s">
        <v>80</v>
      </c>
      <c r="D70" s="26">
        <v>1964</v>
      </c>
      <c r="E70" s="22" t="s">
        <v>82</v>
      </c>
      <c r="F70" s="7">
        <v>2975403</v>
      </c>
      <c r="G70" s="73">
        <f t="shared" si="0"/>
        <v>0</v>
      </c>
      <c r="H70" s="74">
        <v>1193111</v>
      </c>
      <c r="I70" s="7">
        <v>393895</v>
      </c>
      <c r="J70" s="7">
        <v>1090857</v>
      </c>
      <c r="K70" s="7">
        <v>297540</v>
      </c>
      <c r="L70" s="5" t="e">
        <f>K70*(#REF!+#REF!)/#REF!</f>
        <v>#REF!</v>
      </c>
      <c r="M70" s="5" t="e">
        <f>K70*(#REF!+#REF!)/#REF!</f>
        <v>#REF!</v>
      </c>
      <c r="N70" s="7" t="e">
        <f>F70/#REF!</f>
        <v>#REF!</v>
      </c>
      <c r="O70" s="4">
        <v>10084</v>
      </c>
      <c r="P70" s="121" t="s">
        <v>213</v>
      </c>
      <c r="Q70" s="117" t="s">
        <v>233</v>
      </c>
      <c r="R70" s="116" t="s">
        <v>238</v>
      </c>
    </row>
    <row r="71" spans="1:18" s="107" customFormat="1" ht="56.25" customHeight="1">
      <c r="A71" s="26">
        <f t="shared" si="1"/>
        <v>58</v>
      </c>
      <c r="B71" s="1"/>
      <c r="C71" s="8" t="s">
        <v>81</v>
      </c>
      <c r="D71" s="54">
        <v>1959</v>
      </c>
      <c r="E71" s="22" t="s">
        <v>201</v>
      </c>
      <c r="F71" s="7">
        <v>4296910</v>
      </c>
      <c r="G71" s="73">
        <f t="shared" si="0"/>
        <v>0</v>
      </c>
      <c r="H71" s="74">
        <v>1723024</v>
      </c>
      <c r="I71" s="7">
        <v>568841</v>
      </c>
      <c r="J71" s="7">
        <v>1575354</v>
      </c>
      <c r="K71" s="7">
        <v>429691</v>
      </c>
      <c r="L71" s="5" t="e">
        <f>K71*(#REF!+#REF!)/#REF!</f>
        <v>#REF!</v>
      </c>
      <c r="M71" s="5" t="e">
        <f>K71*(#REF!+#REF!)/#REF!</f>
        <v>#REF!</v>
      </c>
      <c r="N71" s="7" t="e">
        <f>F71/#REF!</f>
        <v>#REF!</v>
      </c>
      <c r="O71" s="4">
        <v>10084</v>
      </c>
      <c r="P71" s="121" t="s">
        <v>213</v>
      </c>
      <c r="Q71" s="117" t="s">
        <v>233</v>
      </c>
      <c r="R71" s="116" t="s">
        <v>237</v>
      </c>
    </row>
    <row r="72" spans="1:18" s="107" customFormat="1" ht="66.75" customHeight="1">
      <c r="A72" s="26">
        <f t="shared" si="1"/>
        <v>59</v>
      </c>
      <c r="B72" s="1" t="s">
        <v>41</v>
      </c>
      <c r="C72" s="14" t="s">
        <v>95</v>
      </c>
      <c r="D72" s="61">
        <v>1975</v>
      </c>
      <c r="E72" s="22" t="s">
        <v>203</v>
      </c>
      <c r="F72" s="5">
        <f>5132254+200000+417553.99+1629086</f>
        <v>7378893.99</v>
      </c>
      <c r="G72" s="75">
        <f t="shared" si="0"/>
        <v>0</v>
      </c>
      <c r="H72" s="76">
        <f>2958873.99</f>
        <v>2958873.99</v>
      </c>
      <c r="I72" s="7">
        <f>976845</f>
        <v>976845</v>
      </c>
      <c r="J72" s="7">
        <f>2705286</f>
        <v>2705286</v>
      </c>
      <c r="K72" s="7">
        <f>737889</f>
        <v>737889</v>
      </c>
      <c r="L72" s="5" t="e">
        <f>K72*(#REF!+#REF!)/#REF!</f>
        <v>#REF!</v>
      </c>
      <c r="M72" s="5" t="e">
        <f>K72*(#REF!+#REF!)/#REF!</f>
        <v>#REF!</v>
      </c>
      <c r="N72" s="7" t="e">
        <f>F72/#REF!</f>
        <v>#REF!</v>
      </c>
      <c r="O72" s="4">
        <v>10084</v>
      </c>
      <c r="P72" s="121" t="s">
        <v>213</v>
      </c>
      <c r="Q72" s="117" t="s">
        <v>225</v>
      </c>
      <c r="R72" s="116" t="s">
        <v>227</v>
      </c>
    </row>
    <row r="73" spans="1:18" s="107" customFormat="1" ht="59.25" customHeight="1">
      <c r="A73" s="26">
        <f t="shared" si="1"/>
        <v>60</v>
      </c>
      <c r="B73" s="1" t="s">
        <v>50</v>
      </c>
      <c r="C73" s="15" t="s">
        <v>51</v>
      </c>
      <c r="D73" s="57">
        <v>1965</v>
      </c>
      <c r="E73" s="22" t="s">
        <v>211</v>
      </c>
      <c r="F73" s="7">
        <v>3471947</v>
      </c>
      <c r="G73" s="73">
        <f t="shared" si="0"/>
        <v>0</v>
      </c>
      <c r="H73" s="74">
        <v>1392221</v>
      </c>
      <c r="I73" s="7">
        <v>459629</v>
      </c>
      <c r="J73" s="7">
        <v>1272902</v>
      </c>
      <c r="K73" s="7">
        <v>347195</v>
      </c>
      <c r="L73" s="5" t="e">
        <f>K73*(#REF!+#REF!)/#REF!</f>
        <v>#REF!</v>
      </c>
      <c r="M73" s="5" t="e">
        <f>K73*(#REF!+#REF!)/#REF!</f>
        <v>#REF!</v>
      </c>
      <c r="N73" s="7" t="e">
        <f>F73/#REF!</f>
        <v>#REF!</v>
      </c>
      <c r="O73" s="4">
        <v>10084</v>
      </c>
      <c r="P73" s="121" t="s">
        <v>213</v>
      </c>
      <c r="Q73" s="117" t="s">
        <v>233</v>
      </c>
      <c r="R73" s="116" t="s">
        <v>239</v>
      </c>
    </row>
    <row r="74" spans="1:18" s="107" customFormat="1" ht="63" customHeight="1">
      <c r="A74" s="26">
        <f t="shared" si="1"/>
        <v>61</v>
      </c>
      <c r="B74" s="1" t="s">
        <v>52</v>
      </c>
      <c r="C74" s="8" t="s">
        <v>96</v>
      </c>
      <c r="D74" s="26">
        <v>1965</v>
      </c>
      <c r="E74" s="22" t="s">
        <v>204</v>
      </c>
      <c r="F74" s="7">
        <v>4502190</v>
      </c>
      <c r="G74" s="73">
        <f t="shared" si="0"/>
        <v>0</v>
      </c>
      <c r="H74" s="74">
        <v>1805340</v>
      </c>
      <c r="I74" s="7">
        <v>596017</v>
      </c>
      <c r="J74" s="7">
        <v>1650614</v>
      </c>
      <c r="K74" s="7">
        <v>450219</v>
      </c>
      <c r="L74" s="5" t="e">
        <f>K74*(#REF!+#REF!)/#REF!</f>
        <v>#REF!</v>
      </c>
      <c r="M74" s="5" t="e">
        <f>K74*(#REF!+#REF!)/#REF!</f>
        <v>#REF!</v>
      </c>
      <c r="N74" s="7" t="e">
        <f>F74/#REF!</f>
        <v>#REF!</v>
      </c>
      <c r="O74" s="4">
        <v>10084</v>
      </c>
      <c r="P74" s="121" t="s">
        <v>213</v>
      </c>
      <c r="Q74" s="117" t="s">
        <v>228</v>
      </c>
      <c r="R74" s="116" t="s">
        <v>230</v>
      </c>
    </row>
    <row r="75" spans="1:18" s="107" customFormat="1" ht="62.25" customHeight="1">
      <c r="A75" s="26">
        <f t="shared" si="1"/>
        <v>62</v>
      </c>
      <c r="B75" s="1" t="s">
        <v>61</v>
      </c>
      <c r="C75" s="8" t="s">
        <v>97</v>
      </c>
      <c r="D75" s="26">
        <v>1975</v>
      </c>
      <c r="E75" s="22" t="s">
        <v>205</v>
      </c>
      <c r="F75" s="7">
        <v>4094075</v>
      </c>
      <c r="G75" s="73">
        <f t="shared" si="0"/>
        <v>0</v>
      </c>
      <c r="H75" s="74">
        <v>1641688</v>
      </c>
      <c r="I75" s="7">
        <v>541989</v>
      </c>
      <c r="J75" s="7">
        <v>1500990</v>
      </c>
      <c r="K75" s="7">
        <v>409408</v>
      </c>
      <c r="L75" s="5" t="e">
        <f>K75*(#REF!+#REF!)/#REF!</f>
        <v>#REF!</v>
      </c>
      <c r="M75" s="5" t="e">
        <f>K75*(#REF!+#REF!)/#REF!</f>
        <v>#REF!</v>
      </c>
      <c r="N75" s="7" t="e">
        <f>F75/#REF!</f>
        <v>#REF!</v>
      </c>
      <c r="O75" s="4">
        <v>10084</v>
      </c>
      <c r="P75" s="121" t="s">
        <v>213</v>
      </c>
      <c r="Q75" s="117" t="s">
        <v>233</v>
      </c>
      <c r="R75" s="116" t="s">
        <v>247</v>
      </c>
    </row>
    <row r="76" spans="1:18" s="107" customFormat="1" ht="56.25" customHeight="1">
      <c r="A76" s="26">
        <f t="shared" si="1"/>
        <v>63</v>
      </c>
      <c r="B76" s="1" t="s">
        <v>83</v>
      </c>
      <c r="C76" s="8" t="s">
        <v>98</v>
      </c>
      <c r="D76" s="26">
        <v>1970</v>
      </c>
      <c r="E76" s="22" t="s">
        <v>212</v>
      </c>
      <c r="F76" s="7">
        <v>5076319</v>
      </c>
      <c r="G76" s="73">
        <f t="shared" si="0"/>
        <v>0</v>
      </c>
      <c r="H76" s="74">
        <v>2035560</v>
      </c>
      <c r="I76" s="7">
        <v>672022</v>
      </c>
      <c r="J76" s="7">
        <v>1861105</v>
      </c>
      <c r="K76" s="7">
        <v>507632</v>
      </c>
      <c r="L76" s="5" t="e">
        <f>K76*(#REF!+#REF!)/#REF!</f>
        <v>#REF!</v>
      </c>
      <c r="M76" s="5" t="e">
        <f>K76*(#REF!+#REF!)/#REF!</f>
        <v>#REF!</v>
      </c>
      <c r="N76" s="7" t="e">
        <f>F76/#REF!</f>
        <v>#REF!</v>
      </c>
      <c r="O76" s="4">
        <v>10084</v>
      </c>
      <c r="P76" s="121" t="s">
        <v>213</v>
      </c>
      <c r="Q76" s="117" t="s">
        <v>233</v>
      </c>
      <c r="R76" s="116" t="s">
        <v>244</v>
      </c>
    </row>
    <row r="77" spans="1:18" s="107" customFormat="1" ht="76.5" customHeight="1">
      <c r="A77" s="26">
        <f t="shared" si="1"/>
        <v>64</v>
      </c>
      <c r="B77" s="1" t="s">
        <v>118</v>
      </c>
      <c r="C77" s="8" t="s">
        <v>128</v>
      </c>
      <c r="D77" s="26">
        <v>1985</v>
      </c>
      <c r="E77" s="22" t="s">
        <v>208</v>
      </c>
      <c r="F77" s="7">
        <v>3311000</v>
      </c>
      <c r="G77" s="73">
        <f t="shared" si="0"/>
        <v>0</v>
      </c>
      <c r="H77" s="74">
        <v>1327683</v>
      </c>
      <c r="I77" s="7">
        <v>438323</v>
      </c>
      <c r="J77" s="7">
        <v>1213894</v>
      </c>
      <c r="K77" s="7">
        <v>331100</v>
      </c>
      <c r="L77" s="5" t="e">
        <f>K77*(#REF!+#REF!)/#REF!</f>
        <v>#REF!</v>
      </c>
      <c r="M77" s="5" t="e">
        <f>K77*(#REF!+#REF!)/#REF!</f>
        <v>#REF!</v>
      </c>
      <c r="N77" s="7" t="e">
        <f>F77/#REF!</f>
        <v>#REF!</v>
      </c>
      <c r="O77" s="4">
        <v>10084</v>
      </c>
      <c r="P77" s="121" t="s">
        <v>213</v>
      </c>
      <c r="Q77" s="116" t="s">
        <v>251</v>
      </c>
      <c r="R77" s="116" t="s">
        <v>248</v>
      </c>
    </row>
    <row r="78" spans="1:18" s="107" customFormat="1" ht="68.25" customHeight="1">
      <c r="A78" s="26">
        <f t="shared" si="1"/>
        <v>65</v>
      </c>
      <c r="B78" s="1" t="s">
        <v>117</v>
      </c>
      <c r="C78" s="8" t="s">
        <v>116</v>
      </c>
      <c r="D78" s="55">
        <v>1966</v>
      </c>
      <c r="E78" s="22" t="s">
        <v>202</v>
      </c>
      <c r="F78" s="7">
        <f>948000+1806360+600000</f>
        <v>3354360</v>
      </c>
      <c r="G78" s="73">
        <f t="shared" si="0"/>
        <v>0</v>
      </c>
      <c r="H78" s="74">
        <f>1345070</f>
        <v>1345070</v>
      </c>
      <c r="I78" s="7">
        <f>444062</f>
        <v>444062</v>
      </c>
      <c r="J78" s="7">
        <f>1229792</f>
        <v>1229792</v>
      </c>
      <c r="K78" s="7">
        <f>335436</f>
        <v>335436</v>
      </c>
      <c r="L78" s="5" t="e">
        <f>K78*(#REF!+#REF!)/#REF!</f>
        <v>#REF!</v>
      </c>
      <c r="M78" s="5" t="e">
        <f>K78*(#REF!+#REF!)/#REF!</f>
        <v>#REF!</v>
      </c>
      <c r="N78" s="7" t="e">
        <f>F78/#REF!</f>
        <v>#REF!</v>
      </c>
      <c r="O78" s="4">
        <v>10084</v>
      </c>
      <c r="P78" s="121" t="s">
        <v>213</v>
      </c>
      <c r="Q78" s="117" t="s">
        <v>228</v>
      </c>
      <c r="R78" s="116" t="s">
        <v>246</v>
      </c>
    </row>
    <row r="79" spans="1:18" s="107" customFormat="1" ht="33" customHeight="1">
      <c r="A79" s="26"/>
      <c r="B79" s="1"/>
      <c r="C79" s="1" t="s">
        <v>106</v>
      </c>
      <c r="D79" s="26"/>
      <c r="E79" s="66"/>
      <c r="F79" s="64">
        <f aca="true" t="shared" si="2" ref="F79:M79">SUM(F14:F78)</f>
        <v>231844621.99</v>
      </c>
      <c r="G79" s="64">
        <f t="shared" si="0"/>
        <v>0</v>
      </c>
      <c r="H79" s="64">
        <f>SUM(H14:H78)</f>
        <v>92967703.99</v>
      </c>
      <c r="I79" s="65">
        <f t="shared" si="2"/>
        <v>30692455</v>
      </c>
      <c r="J79" s="65">
        <f>SUM(J14:J78)</f>
        <v>85000000</v>
      </c>
      <c r="K79" s="65">
        <f t="shared" si="2"/>
        <v>23184463</v>
      </c>
      <c r="L79" s="64" t="e">
        <f t="shared" si="2"/>
        <v>#REF!</v>
      </c>
      <c r="M79" s="64" t="e">
        <f t="shared" si="2"/>
        <v>#REF!</v>
      </c>
      <c r="N79" s="49" t="e">
        <f>F79/#REF!</f>
        <v>#REF!</v>
      </c>
      <c r="O79" s="62"/>
      <c r="P79" s="116"/>
      <c r="Q79" s="117"/>
      <c r="R79" s="117"/>
    </row>
    <row r="80" spans="1:18" s="107" customFormat="1" ht="15" hidden="1">
      <c r="A80" s="26"/>
      <c r="B80" s="1"/>
      <c r="C80" s="1"/>
      <c r="D80" s="26"/>
      <c r="E80" s="66"/>
      <c r="F80" s="63"/>
      <c r="G80" s="63"/>
      <c r="H80" s="63"/>
      <c r="I80" s="62"/>
      <c r="J80" s="62"/>
      <c r="K80" s="62"/>
      <c r="L80" s="62"/>
      <c r="M80" s="62"/>
      <c r="N80" s="65"/>
      <c r="O80" s="62"/>
      <c r="P80" s="122"/>
      <c r="Q80" s="123"/>
      <c r="R80" s="123"/>
    </row>
    <row r="81" spans="1:18" s="107" customFormat="1" ht="15" hidden="1">
      <c r="A81" s="26"/>
      <c r="B81" s="1"/>
      <c r="C81" s="1"/>
      <c r="D81" s="26"/>
      <c r="E81" s="66" t="s">
        <v>131</v>
      </c>
      <c r="F81" s="53">
        <v>231844621.99</v>
      </c>
      <c r="G81" s="53"/>
      <c r="H81" s="108">
        <v>92967703.99</v>
      </c>
      <c r="I81" s="108">
        <v>30692455</v>
      </c>
      <c r="J81" s="108">
        <v>85000000</v>
      </c>
      <c r="K81" s="109">
        <v>23184463</v>
      </c>
      <c r="L81" s="62">
        <v>19248547.98</v>
      </c>
      <c r="M81" s="62">
        <v>3935915.02</v>
      </c>
      <c r="N81" s="65"/>
      <c r="O81" s="62"/>
      <c r="P81" s="122"/>
      <c r="Q81" s="123"/>
      <c r="R81" s="123"/>
    </row>
    <row r="82" spans="1:15" ht="24" customHeight="1" hidden="1">
      <c r="A82" s="29"/>
      <c r="B82" s="38"/>
      <c r="C82" s="38"/>
      <c r="D82" s="39"/>
      <c r="E82" s="40" t="s">
        <v>138</v>
      </c>
      <c r="L82" s="41"/>
      <c r="M82" s="41"/>
      <c r="N82" s="42"/>
      <c r="O82" s="43"/>
    </row>
    <row r="83" spans="6:13" ht="15" hidden="1">
      <c r="F83" s="111">
        <f aca="true" t="shared" si="3" ref="F83:M83">F81-F79</f>
        <v>0</v>
      </c>
      <c r="G83" s="111"/>
      <c r="H83" s="111">
        <f t="shared" si="3"/>
        <v>0</v>
      </c>
      <c r="I83" s="111">
        <f t="shared" si="3"/>
        <v>0</v>
      </c>
      <c r="J83" s="111">
        <f t="shared" si="3"/>
        <v>0</v>
      </c>
      <c r="K83" s="111">
        <f t="shared" si="3"/>
        <v>0</v>
      </c>
      <c r="L83" s="111" t="e">
        <f t="shared" si="3"/>
        <v>#REF!</v>
      </c>
      <c r="M83" s="111" t="e">
        <f t="shared" si="3"/>
        <v>#REF!</v>
      </c>
    </row>
  </sheetData>
  <sheetProtection/>
  <mergeCells count="21">
    <mergeCell ref="Q4:Q7"/>
    <mergeCell ref="R4:R7"/>
    <mergeCell ref="P4:P7"/>
    <mergeCell ref="L6:M6"/>
    <mergeCell ref="N4:N7"/>
    <mergeCell ref="A4:A8"/>
    <mergeCell ref="B4:B8"/>
    <mergeCell ref="C4:C8"/>
    <mergeCell ref="J6:J7"/>
    <mergeCell ref="F5:F7"/>
    <mergeCell ref="H6:H7"/>
    <mergeCell ref="I1:O1"/>
    <mergeCell ref="I2:O2"/>
    <mergeCell ref="E4:E8"/>
    <mergeCell ref="F4:K4"/>
    <mergeCell ref="I6:I7"/>
    <mergeCell ref="O4:O7"/>
    <mergeCell ref="A3:H3"/>
    <mergeCell ref="D5:D8"/>
    <mergeCell ref="K6:K7"/>
    <mergeCell ref="H5:K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75" zoomScaleSheetLayoutView="75" zoomScalePageLayoutView="0" workbookViewId="0" topLeftCell="A16">
      <selection activeCell="M14" sqref="M14"/>
    </sheetView>
  </sheetViews>
  <sheetFormatPr defaultColWidth="9.140625" defaultRowHeight="15"/>
  <cols>
    <col min="1" max="1" width="5.28125" style="0" customWidth="1"/>
    <col min="2" max="2" width="18.00390625" style="0" customWidth="1"/>
    <col min="3" max="3" width="13.57421875" style="0" customWidth="1"/>
    <col min="4" max="4" width="10.8515625" style="0" customWidth="1"/>
    <col min="5" max="11" width="9.28125" style="0" bestFit="1" customWidth="1"/>
    <col min="12" max="12" width="14.00390625" style="0" customWidth="1"/>
    <col min="13" max="13" width="16.00390625" style="0" customWidth="1"/>
    <col min="14" max="14" width="14.421875" style="0" bestFit="1" customWidth="1"/>
  </cols>
  <sheetData>
    <row r="1" spans="11:17" ht="69.75" customHeight="1">
      <c r="K1" s="128" t="s">
        <v>216</v>
      </c>
      <c r="L1" s="128"/>
      <c r="M1" s="128"/>
      <c r="N1" s="128"/>
      <c r="O1" s="113"/>
      <c r="P1" s="113"/>
      <c r="Q1" s="113"/>
    </row>
    <row r="2" spans="11:17" ht="90.75" customHeight="1">
      <c r="K2" s="134" t="s">
        <v>215</v>
      </c>
      <c r="L2" s="134"/>
      <c r="M2" s="134"/>
      <c r="N2" s="67"/>
      <c r="O2" s="67"/>
      <c r="P2" s="67"/>
      <c r="Q2" s="67"/>
    </row>
    <row r="3" spans="1:14" ht="55.5" customHeight="1">
      <c r="A3" s="156" t="s">
        <v>140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5">
      <c r="A4" s="77"/>
      <c r="B4" s="77"/>
      <c r="C4" s="77"/>
      <c r="D4" s="77"/>
      <c r="E4" s="78"/>
      <c r="F4" s="78"/>
      <c r="G4" s="78"/>
      <c r="H4" s="78"/>
      <c r="I4" s="79"/>
      <c r="J4" s="79"/>
      <c r="K4" s="79"/>
      <c r="L4" s="79"/>
      <c r="M4" s="79"/>
      <c r="N4" s="79"/>
    </row>
    <row r="5" spans="1:14" ht="15">
      <c r="A5" s="77"/>
      <c r="B5" s="77"/>
      <c r="C5" s="78"/>
      <c r="D5" s="78"/>
      <c r="E5" s="78"/>
      <c r="F5" s="78"/>
      <c r="G5" s="78"/>
      <c r="H5" s="78"/>
      <c r="I5" s="79"/>
      <c r="J5" s="79"/>
      <c r="K5" s="79"/>
      <c r="L5" s="79"/>
      <c r="M5" s="79"/>
      <c r="N5" s="79"/>
    </row>
    <row r="6" spans="1:14" ht="16.5">
      <c r="A6" s="157" t="s">
        <v>0</v>
      </c>
      <c r="B6" s="158" t="s">
        <v>141</v>
      </c>
      <c r="C6" s="161" t="s">
        <v>142</v>
      </c>
      <c r="D6" s="158" t="s">
        <v>143</v>
      </c>
      <c r="E6" s="163" t="s">
        <v>144</v>
      </c>
      <c r="F6" s="164"/>
      <c r="G6" s="164"/>
      <c r="H6" s="164"/>
      <c r="I6" s="165"/>
      <c r="J6" s="164" t="s">
        <v>145</v>
      </c>
      <c r="K6" s="164"/>
      <c r="L6" s="164"/>
      <c r="M6" s="164"/>
      <c r="N6" s="164"/>
    </row>
    <row r="7" spans="1:14" ht="66">
      <c r="A7" s="157"/>
      <c r="B7" s="159"/>
      <c r="C7" s="162"/>
      <c r="D7" s="160"/>
      <c r="E7" s="83" t="s">
        <v>146</v>
      </c>
      <c r="F7" s="83" t="s">
        <v>147</v>
      </c>
      <c r="G7" s="83" t="s">
        <v>148</v>
      </c>
      <c r="H7" s="84" t="s">
        <v>149</v>
      </c>
      <c r="I7" s="83" t="s">
        <v>150</v>
      </c>
      <c r="J7" s="83" t="s">
        <v>146</v>
      </c>
      <c r="K7" s="83" t="s">
        <v>147</v>
      </c>
      <c r="L7" s="83" t="s">
        <v>148</v>
      </c>
      <c r="M7" s="84" t="s">
        <v>149</v>
      </c>
      <c r="N7" s="83" t="s">
        <v>150</v>
      </c>
    </row>
    <row r="8" spans="1:14" ht="16.5">
      <c r="A8" s="157"/>
      <c r="B8" s="160"/>
      <c r="C8" s="85" t="s">
        <v>12</v>
      </c>
      <c r="D8" s="85" t="s">
        <v>13</v>
      </c>
      <c r="E8" s="85" t="s">
        <v>30</v>
      </c>
      <c r="F8" s="85" t="s">
        <v>30</v>
      </c>
      <c r="G8" s="85" t="s">
        <v>30</v>
      </c>
      <c r="H8" s="85" t="s">
        <v>30</v>
      </c>
      <c r="I8" s="85" t="s">
        <v>30</v>
      </c>
      <c r="J8" s="85" t="s">
        <v>151</v>
      </c>
      <c r="K8" s="85" t="s">
        <v>151</v>
      </c>
      <c r="L8" s="85" t="s">
        <v>151</v>
      </c>
      <c r="M8" s="85" t="s">
        <v>151</v>
      </c>
      <c r="N8" s="85" t="s">
        <v>151</v>
      </c>
    </row>
    <row r="9" spans="1:14" ht="16.5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</row>
    <row r="10" spans="1:14" s="82" customFormat="1" ht="15.75">
      <c r="A10" s="86" t="s">
        <v>152</v>
      </c>
      <c r="B10" s="86" t="s">
        <v>32</v>
      </c>
      <c r="C10" s="87">
        <v>358690.2</v>
      </c>
      <c r="D10" s="88">
        <v>16238</v>
      </c>
      <c r="E10" s="89"/>
      <c r="F10" s="89"/>
      <c r="G10" s="89">
        <v>35</v>
      </c>
      <c r="H10" s="86">
        <v>30</v>
      </c>
      <c r="I10" s="86">
        <v>65</v>
      </c>
      <c r="J10" s="86"/>
      <c r="K10" s="86"/>
      <c r="L10" s="91">
        <v>115851551</v>
      </c>
      <c r="M10" s="80">
        <v>115993070.99</v>
      </c>
      <c r="N10" s="81">
        <f>L10+M10</f>
        <v>231844621.99</v>
      </c>
    </row>
    <row r="11" spans="1:14" s="82" customFormat="1" ht="15.75">
      <c r="A11" s="92"/>
      <c r="B11" s="90" t="s">
        <v>153</v>
      </c>
      <c r="C11" s="87">
        <v>358690.2</v>
      </c>
      <c r="D11" s="88">
        <v>16238</v>
      </c>
      <c r="E11" s="89"/>
      <c r="F11" s="89"/>
      <c r="G11" s="89">
        <v>35</v>
      </c>
      <c r="H11" s="86">
        <v>30</v>
      </c>
      <c r="I11" s="86">
        <v>65</v>
      </c>
      <c r="J11" s="86"/>
      <c r="K11" s="86"/>
      <c r="L11" s="91">
        <f>L10</f>
        <v>115851551</v>
      </c>
      <c r="M11" s="80">
        <f>M10</f>
        <v>115993070.99</v>
      </c>
      <c r="N11" s="81">
        <f>L11+M11</f>
        <v>231844621.99</v>
      </c>
    </row>
    <row r="14" ht="15.75">
      <c r="B14" s="112" t="s">
        <v>210</v>
      </c>
    </row>
  </sheetData>
  <sheetProtection/>
  <mergeCells count="9">
    <mergeCell ref="K2:M2"/>
    <mergeCell ref="K1:N1"/>
    <mergeCell ref="A3:N3"/>
    <mergeCell ref="A6:A8"/>
    <mergeCell ref="B6:B8"/>
    <mergeCell ref="C6:C7"/>
    <mergeCell ref="D6:D7"/>
    <mergeCell ref="E6:I6"/>
    <mergeCell ref="J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pressa3</cp:lastModifiedBy>
  <cp:lastPrinted>2012-04-18T12:05:40Z</cp:lastPrinted>
  <dcterms:created xsi:type="dcterms:W3CDTF">2012-02-18T08:37:29Z</dcterms:created>
  <dcterms:modified xsi:type="dcterms:W3CDTF">2012-04-26T06:06:23Z</dcterms:modified>
  <cp:category/>
  <cp:version/>
  <cp:contentType/>
  <cp:contentStatus/>
</cp:coreProperties>
</file>